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DieseArbeitsmappe" defaultThemeVersion="124226"/>
  <mc:AlternateContent xmlns:mc="http://schemas.openxmlformats.org/markup-compatibility/2006">
    <mc:Choice Requires="x15">
      <x15ac:absPath xmlns:x15ac="http://schemas.microsoft.com/office/spreadsheetml/2010/11/ac" url="V:\410_Grp\01 Mitarbeiter_Collaborateurs\MSC3\Hofdüngerwertrechner\Rechner_dev\"/>
    </mc:Choice>
  </mc:AlternateContent>
  <workbookProtection workbookPassword="B95C" lockStructure="1"/>
  <bookViews>
    <workbookView xWindow="0" yWindow="0" windowWidth="28770" windowHeight="2085"/>
  </bookViews>
  <sheets>
    <sheet name="Rechner Calulateur" sheetId="31" r:id="rId1"/>
    <sheet name="Texte" sheetId="39" state="hidden" r:id="rId2"/>
    <sheet name="Readme" sheetId="37" state="hidden" r:id="rId3"/>
    <sheet name="Formeln_GRUD" sheetId="8" state="hidden" r:id="rId4"/>
    <sheet name="Düngerpreise Agristat" sheetId="36" state="hidden" r:id="rId5"/>
    <sheet name="LANDOR 7.23" sheetId="41" state="hidden" r:id="rId6"/>
    <sheet name="Nverf" sheetId="17" state="hidden" r:id="rId7"/>
    <sheet name="Kompost" sheetId="38" state="hidden" r:id="rId8"/>
    <sheet name="Änderungsnachweis" sheetId="42" state="hidden" r:id="rId9"/>
  </sheets>
  <definedNames>
    <definedName name="_xlnm.Print_Area" localSheetId="0">'Rechner Calulateur'!$A$1:$Q$92</definedName>
    <definedName name="ID">"nicht identifiziert"</definedName>
    <definedName name="SprachIdx" localSheetId="1">Texte!$A$2</definedName>
    <definedName name="Startzelle" localSheetId="1">Texte!$A$1</definedName>
  </definedNames>
  <calcPr calcId="152511"/>
</workbook>
</file>

<file path=xl/calcChain.xml><?xml version="1.0" encoding="utf-8"?>
<calcChain xmlns="http://schemas.openxmlformats.org/spreadsheetml/2006/main">
  <c r="I97" i="8" l="1"/>
  <c r="H97" i="8"/>
  <c r="A195" i="39"/>
  <c r="A197" i="39"/>
  <c r="A198" i="39"/>
  <c r="I108" i="8"/>
  <c r="K108" i="8" s="1"/>
  <c r="I105" i="8"/>
  <c r="K105" i="8" s="1"/>
  <c r="I102" i="8"/>
  <c r="K102" i="8" s="1"/>
  <c r="A192" i="39" l="1"/>
  <c r="A2" i="39" l="1"/>
  <c r="A119" i="39" s="1"/>
  <c r="A15" i="39"/>
  <c r="A16" i="39"/>
  <c r="A26" i="39"/>
  <c r="A28" i="39"/>
  <c r="A45" i="39"/>
  <c r="A46" i="39"/>
  <c r="A47" i="39"/>
  <c r="A51" i="39"/>
  <c r="A59" i="39"/>
  <c r="A60" i="39"/>
  <c r="A62" i="39"/>
  <c r="A63" i="39"/>
  <c r="A70" i="39"/>
  <c r="B71" i="39"/>
  <c r="A73" i="39"/>
  <c r="A147" i="39"/>
  <c r="A150" i="39"/>
  <c r="A163" i="39"/>
  <c r="A167" i="39"/>
  <c r="A174" i="39"/>
  <c r="A175" i="39"/>
  <c r="A177" i="39"/>
  <c r="A180" i="39"/>
  <c r="A185" i="39"/>
  <c r="A187" i="39"/>
  <c r="A188" i="39"/>
  <c r="A189" i="39"/>
  <c r="A247" i="39"/>
  <c r="A248" i="39"/>
  <c r="A249" i="39"/>
  <c r="A250" i="39"/>
  <c r="A251" i="39"/>
  <c r="A252" i="39"/>
  <c r="A253" i="39"/>
  <c r="A254" i="39"/>
  <c r="A255" i="39"/>
  <c r="A256" i="39"/>
  <c r="A257" i="39"/>
  <c r="A258" i="39"/>
  <c r="A259" i="39"/>
  <c r="A260" i="39"/>
  <c r="A261" i="39"/>
  <c r="A262" i="39"/>
  <c r="A263" i="39"/>
  <c r="A264" i="39"/>
  <c r="A265" i="39"/>
  <c r="A266" i="39"/>
  <c r="A267" i="39"/>
  <c r="A268" i="39"/>
  <c r="A269" i="39"/>
  <c r="A270" i="39"/>
  <c r="A271" i="39"/>
  <c r="A272" i="39"/>
  <c r="A273" i="39"/>
  <c r="A274" i="39"/>
  <c r="A275" i="39"/>
  <c r="A276" i="39"/>
  <c r="A277" i="39"/>
  <c r="A278" i="39"/>
  <c r="A279" i="39"/>
  <c r="A280" i="39"/>
  <c r="A281" i="39"/>
  <c r="A282" i="39"/>
  <c r="A283" i="39"/>
  <c r="A284" i="39"/>
  <c r="A285" i="39"/>
  <c r="A286" i="39"/>
  <c r="A287" i="39"/>
  <c r="A288" i="39"/>
  <c r="A289" i="39"/>
  <c r="A290" i="39"/>
  <c r="A291" i="39"/>
  <c r="A292" i="39"/>
  <c r="A293" i="39"/>
  <c r="A294" i="39"/>
  <c r="A295" i="39"/>
  <c r="A296" i="39"/>
  <c r="A297" i="39"/>
  <c r="A298" i="39"/>
  <c r="A299" i="39"/>
  <c r="A300" i="39"/>
  <c r="A301" i="39"/>
  <c r="A302" i="39"/>
  <c r="A303" i="39"/>
  <c r="A304" i="39"/>
  <c r="A305" i="39"/>
  <c r="A306" i="39"/>
  <c r="A307" i="39"/>
  <c r="A308" i="39"/>
  <c r="A309" i="39"/>
  <c r="A310" i="39"/>
  <c r="A311" i="39"/>
  <c r="A312" i="39"/>
  <c r="A313" i="39"/>
  <c r="A314" i="39"/>
  <c r="A315" i="39"/>
  <c r="A316" i="39"/>
  <c r="A317" i="39"/>
  <c r="A318" i="39"/>
  <c r="A319" i="39"/>
  <c r="A320" i="39"/>
  <c r="A321" i="39"/>
  <c r="A322" i="39"/>
  <c r="A323" i="39"/>
  <c r="A324" i="39"/>
  <c r="A325" i="39"/>
  <c r="A326" i="39"/>
  <c r="A327" i="39"/>
  <c r="A328" i="39"/>
  <c r="A329" i="39"/>
  <c r="A330" i="39"/>
  <c r="A331" i="39"/>
  <c r="A332" i="39"/>
  <c r="A333" i="39"/>
  <c r="A334" i="39"/>
  <c r="A335" i="39"/>
  <c r="A336" i="39"/>
  <c r="A337" i="39"/>
  <c r="A338" i="39"/>
  <c r="A339" i="39"/>
  <c r="A340" i="39"/>
  <c r="A341" i="39"/>
  <c r="A342" i="39"/>
  <c r="A343" i="39"/>
  <c r="A344" i="39"/>
  <c r="A345" i="39"/>
  <c r="A346" i="39"/>
  <c r="A347" i="39"/>
  <c r="A348" i="39"/>
  <c r="A349" i="39"/>
  <c r="A350" i="39"/>
  <c r="A351" i="39"/>
  <c r="A352" i="39"/>
  <c r="A353" i="39"/>
  <c r="A354" i="39"/>
  <c r="A355" i="39"/>
  <c r="A356" i="39"/>
  <c r="A357" i="39"/>
  <c r="A358" i="39"/>
  <c r="A359" i="39"/>
  <c r="A360" i="39"/>
  <c r="A361" i="39"/>
  <c r="A362" i="39"/>
  <c r="A363" i="39"/>
  <c r="A364" i="39"/>
  <c r="A365" i="39"/>
  <c r="A366" i="39"/>
  <c r="A367" i="39"/>
  <c r="A368" i="39"/>
  <c r="A369" i="39"/>
  <c r="A370" i="39"/>
  <c r="A371" i="39"/>
  <c r="A372" i="39"/>
  <c r="A373" i="39"/>
  <c r="A374" i="39"/>
  <c r="A375" i="39"/>
  <c r="A376" i="39"/>
  <c r="A377" i="39"/>
  <c r="A378" i="39"/>
  <c r="A379" i="39"/>
  <c r="A380" i="39"/>
  <c r="A381" i="39"/>
  <c r="A382" i="39"/>
  <c r="A383" i="39"/>
  <c r="A384" i="39"/>
  <c r="A385" i="39"/>
  <c r="A386" i="39"/>
  <c r="A387" i="39"/>
  <c r="A388" i="39"/>
  <c r="A389" i="39"/>
  <c r="A390" i="39"/>
  <c r="A391" i="39"/>
  <c r="A392" i="39"/>
  <c r="A393" i="39"/>
  <c r="A394" i="39"/>
  <c r="A395" i="39"/>
  <c r="A396" i="39"/>
  <c r="A397" i="39"/>
  <c r="A398" i="39"/>
  <c r="A399" i="39"/>
  <c r="A400" i="39"/>
  <c r="A401" i="39"/>
  <c r="A402" i="39"/>
  <c r="A403" i="39"/>
  <c r="A404" i="39"/>
  <c r="A405" i="39"/>
  <c r="A406" i="39"/>
  <c r="A407" i="39"/>
  <c r="A408" i="39"/>
  <c r="A409" i="39"/>
  <c r="A410" i="39"/>
  <c r="A411" i="39"/>
  <c r="A412" i="39"/>
  <c r="A413" i="39"/>
  <c r="A414" i="39"/>
  <c r="A415" i="39"/>
  <c r="A416" i="39"/>
  <c r="A417" i="39"/>
  <c r="A418" i="39"/>
  <c r="A419" i="39"/>
  <c r="A420" i="39"/>
  <c r="A421" i="39"/>
  <c r="A422" i="39"/>
  <c r="A423" i="39"/>
  <c r="A93" i="39" l="1"/>
  <c r="A171" i="39"/>
  <c r="A155" i="39"/>
  <c r="A141" i="39"/>
  <c r="A85" i="39"/>
  <c r="A196" i="39"/>
  <c r="B32" i="31" s="1"/>
  <c r="A179" i="39"/>
  <c r="A154" i="39"/>
  <c r="A140" i="39"/>
  <c r="A118" i="39"/>
  <c r="A92" i="39"/>
  <c r="A166" i="39"/>
  <c r="A151" i="39"/>
  <c r="A134" i="39"/>
  <c r="A117" i="39"/>
  <c r="A91" i="39"/>
  <c r="A42" i="39"/>
  <c r="A133" i="39"/>
  <c r="A87" i="39"/>
  <c r="A37" i="39"/>
  <c r="A184" i="39"/>
  <c r="A164" i="39"/>
  <c r="A132" i="39"/>
  <c r="A108" i="39"/>
  <c r="A76" i="39"/>
  <c r="A53" i="39"/>
  <c r="A176" i="39"/>
  <c r="A165" i="39"/>
  <c r="A116" i="39"/>
  <c r="A183" i="39"/>
  <c r="A146" i="39"/>
  <c r="A131" i="39"/>
  <c r="A107" i="39"/>
  <c r="A52" i="39"/>
  <c r="A191" i="39"/>
  <c r="B49" i="31" s="1"/>
  <c r="A182" i="39"/>
  <c r="A173" i="39"/>
  <c r="A162" i="39"/>
  <c r="A143" i="39"/>
  <c r="A127" i="39"/>
  <c r="A103" i="39"/>
  <c r="A71" i="39"/>
  <c r="A190" i="39"/>
  <c r="B48" i="31" s="1"/>
  <c r="A181" i="39"/>
  <c r="A172" i="39"/>
  <c r="A156" i="39"/>
  <c r="A142" i="39"/>
  <c r="A123" i="39"/>
  <c r="A102" i="39"/>
  <c r="A43" i="39"/>
  <c r="A101" i="39"/>
  <c r="L25" i="31" s="1"/>
  <c r="A84" i="39"/>
  <c r="A69" i="39"/>
  <c r="A159" i="39"/>
  <c r="A149" i="39"/>
  <c r="A139" i="39"/>
  <c r="A126" i="39"/>
  <c r="A115" i="39"/>
  <c r="A99" i="39"/>
  <c r="A83" i="39"/>
  <c r="A68" i="39"/>
  <c r="A50" i="39"/>
  <c r="A186" i="39"/>
  <c r="A178" i="39"/>
  <c r="A170" i="39"/>
  <c r="B57" i="31" s="1"/>
  <c r="A158" i="39"/>
  <c r="A148" i="39"/>
  <c r="A138" i="39"/>
  <c r="A125" i="39"/>
  <c r="A110" i="39"/>
  <c r="A95" i="39"/>
  <c r="A79" i="39"/>
  <c r="A157" i="39"/>
  <c r="A135" i="39"/>
  <c r="A124" i="39"/>
  <c r="A109" i="39"/>
  <c r="A94" i="39"/>
  <c r="A78" i="39"/>
  <c r="A36" i="39"/>
  <c r="A77" i="39"/>
  <c r="A111" i="39"/>
  <c r="A100" i="39"/>
  <c r="A86" i="39"/>
  <c r="A75" i="39"/>
  <c r="A61" i="39"/>
  <c r="A4" i="39"/>
  <c r="A194" i="39"/>
  <c r="O41" i="31" s="1"/>
  <c r="A24" i="39"/>
  <c r="A23" i="39"/>
  <c r="A67" i="39"/>
  <c r="A58" i="39"/>
  <c r="A35" i="39"/>
  <c r="A20" i="39"/>
  <c r="A130" i="39"/>
  <c r="A122" i="39"/>
  <c r="A114" i="39"/>
  <c r="A106" i="39"/>
  <c r="A98" i="39"/>
  <c r="A90" i="39"/>
  <c r="A82" i="39"/>
  <c r="A74" i="39"/>
  <c r="A66" i="39"/>
  <c r="A56" i="39"/>
  <c r="A34" i="39"/>
  <c r="A19" i="39"/>
  <c r="A169" i="39"/>
  <c r="A161" i="39"/>
  <c r="A153" i="39"/>
  <c r="A145" i="39"/>
  <c r="A137" i="39"/>
  <c r="A129" i="39"/>
  <c r="A121" i="39"/>
  <c r="A113" i="39"/>
  <c r="A105" i="39"/>
  <c r="A97" i="39"/>
  <c r="A89" i="39"/>
  <c r="A81" i="39"/>
  <c r="A193" i="39"/>
  <c r="B41" i="31" s="1"/>
  <c r="A55" i="39"/>
  <c r="A33" i="39"/>
  <c r="A168" i="39"/>
  <c r="A160" i="39"/>
  <c r="A152" i="39"/>
  <c r="A144" i="39"/>
  <c r="A136" i="39"/>
  <c r="A128" i="39"/>
  <c r="A120" i="39"/>
  <c r="A112" i="39"/>
  <c r="A104" i="39"/>
  <c r="A96" i="39"/>
  <c r="A88" i="39"/>
  <c r="A80" i="39"/>
  <c r="A72" i="39"/>
  <c r="A54" i="39"/>
  <c r="A44" i="39"/>
  <c r="A31" i="39"/>
  <c r="A41" i="39"/>
  <c r="A27" i="39"/>
  <c r="A13" i="39"/>
  <c r="A12" i="39"/>
  <c r="A65" i="39"/>
  <c r="A57" i="39"/>
  <c r="A49" i="39"/>
  <c r="A39" i="39"/>
  <c r="A30" i="39"/>
  <c r="A22" i="39"/>
  <c r="A10" i="39"/>
  <c r="A38" i="39"/>
  <c r="A29" i="39"/>
  <c r="A21" i="39"/>
  <c r="A9" i="39"/>
  <c r="A18" i="39"/>
  <c r="A8" i="39"/>
  <c r="A48" i="39"/>
  <c r="A40" i="39"/>
  <c r="A32" i="39"/>
  <c r="A25" i="39"/>
  <c r="A17" i="39"/>
  <c r="A7" i="39"/>
  <c r="A6" i="39"/>
  <c r="A14" i="39"/>
  <c r="V22" i="8"/>
  <c r="J43" i="38"/>
  <c r="J72" i="38"/>
  <c r="J67" i="38"/>
  <c r="J62" i="38"/>
  <c r="J52" i="38"/>
  <c r="J42" i="38"/>
  <c r="J38" i="38"/>
  <c r="J33" i="38"/>
  <c r="D34" i="31" l="1"/>
  <c r="L21" i="31"/>
  <c r="S51" i="8"/>
  <c r="S52" i="8" s="1"/>
  <c r="U51" i="8"/>
  <c r="U52" i="8" s="1"/>
  <c r="V51" i="8"/>
  <c r="V52" i="8" s="1"/>
  <c r="W51" i="8"/>
  <c r="W52" i="8" s="1"/>
  <c r="X51" i="8"/>
  <c r="X52" i="8" s="1"/>
  <c r="P51" i="8"/>
  <c r="P52" i="8" s="1"/>
  <c r="Q79" i="8" s="1"/>
  <c r="K52" i="31" l="1"/>
  <c r="J32" i="8"/>
  <c r="E6" i="8"/>
  <c r="D7" i="38"/>
  <c r="C10" i="38" s="1"/>
  <c r="C27" i="38"/>
  <c r="D27" i="38"/>
  <c r="E27" i="38"/>
  <c r="F28" i="38"/>
  <c r="G28" i="38"/>
  <c r="H28" i="38"/>
  <c r="J28" i="38"/>
  <c r="K28" i="38"/>
  <c r="L28" i="38"/>
  <c r="C42" i="38"/>
  <c r="D42" i="38"/>
  <c r="E43" i="38"/>
  <c r="E42" i="38" s="1"/>
  <c r="F43" i="38"/>
  <c r="G43" i="38"/>
  <c r="H43" i="38"/>
  <c r="I43" i="38"/>
  <c r="K43" i="38"/>
  <c r="L43" i="38"/>
  <c r="D94" i="38"/>
  <c r="H31" i="31" l="1"/>
  <c r="B46" i="31"/>
  <c r="F31" i="31"/>
  <c r="C12" i="38"/>
  <c r="C14" i="38"/>
  <c r="F6" i="8" l="1"/>
  <c r="G6" i="8"/>
  <c r="H6" i="8"/>
  <c r="I6" i="8"/>
  <c r="J6" i="8"/>
  <c r="K6" i="8"/>
  <c r="L6" i="8"/>
  <c r="M6" i="8"/>
  <c r="N6" i="8"/>
  <c r="O6" i="8"/>
  <c r="P6" i="8"/>
  <c r="Q6" i="8"/>
  <c r="R6" i="8"/>
  <c r="S6" i="8"/>
  <c r="T6" i="8"/>
  <c r="E7" i="8"/>
  <c r="F7" i="8"/>
  <c r="G7" i="8"/>
  <c r="H7" i="8"/>
  <c r="I7" i="8"/>
  <c r="J7" i="8"/>
  <c r="K7" i="8"/>
  <c r="L7" i="8"/>
  <c r="M7" i="8"/>
  <c r="N7" i="8"/>
  <c r="O7" i="8"/>
  <c r="P7" i="8"/>
  <c r="Q7" i="8"/>
  <c r="R7" i="8"/>
  <c r="S7" i="8"/>
  <c r="T7" i="8"/>
  <c r="E8" i="8"/>
  <c r="F8" i="8"/>
  <c r="F9" i="8" s="1"/>
  <c r="G8" i="8"/>
  <c r="H8" i="8"/>
  <c r="I8" i="8"/>
  <c r="J8" i="8"/>
  <c r="K8" i="8"/>
  <c r="L8" i="8"/>
  <c r="M8" i="8"/>
  <c r="N8" i="8"/>
  <c r="O8" i="8"/>
  <c r="P8" i="8"/>
  <c r="Q8" i="8"/>
  <c r="R8" i="8"/>
  <c r="S8" i="8"/>
  <c r="T8" i="8"/>
  <c r="U6" i="8"/>
  <c r="V6" i="8"/>
  <c r="W6" i="8"/>
  <c r="X6" i="8"/>
  <c r="Y6" i="8"/>
  <c r="U7" i="8"/>
  <c r="V7" i="8"/>
  <c r="W7" i="8"/>
  <c r="X7" i="8"/>
  <c r="Y7" i="8"/>
  <c r="U8" i="8"/>
  <c r="V8" i="8"/>
  <c r="W8" i="8"/>
  <c r="X8" i="8"/>
  <c r="Y8" i="8"/>
  <c r="K77" i="8"/>
  <c r="Z8" i="8" s="1"/>
  <c r="H77" i="8"/>
  <c r="Z22" i="8"/>
  <c r="Z21" i="8"/>
  <c r="Z20" i="8"/>
  <c r="Z19" i="8"/>
  <c r="Z18" i="8"/>
  <c r="Z17" i="8"/>
  <c r="Z16" i="8"/>
  <c r="Z15" i="8"/>
  <c r="Z14" i="8"/>
  <c r="Z13" i="8"/>
  <c r="Z12" i="8"/>
  <c r="Z11" i="8"/>
  <c r="Z10" i="8"/>
  <c r="N9" i="8" l="1"/>
  <c r="J9" i="8"/>
  <c r="E9" i="8"/>
  <c r="Y9" i="8"/>
  <c r="D32" i="38" s="1"/>
  <c r="G9" i="8"/>
  <c r="Z6" i="8"/>
  <c r="Z7" i="8"/>
  <c r="S9" i="8"/>
  <c r="K9" i="8"/>
  <c r="Q9" i="8"/>
  <c r="I9" i="8"/>
  <c r="T9" i="8"/>
  <c r="P9" i="8"/>
  <c r="H9" i="8"/>
  <c r="O9" i="8"/>
  <c r="U9" i="8"/>
  <c r="X9" i="8"/>
  <c r="C32" i="38" s="1"/>
  <c r="R9" i="8"/>
  <c r="W9" i="8"/>
  <c r="V9" i="8"/>
  <c r="M9" i="8"/>
  <c r="L9" i="8"/>
  <c r="D108" i="8"/>
  <c r="D105" i="8"/>
  <c r="E105" i="8" s="1"/>
  <c r="D102" i="8"/>
  <c r="E102" i="8" s="1"/>
  <c r="E108" i="8" l="1"/>
  <c r="Z9" i="8"/>
  <c r="E32" i="38" s="1"/>
  <c r="C13" i="38" s="1"/>
  <c r="E36" i="31" s="1"/>
  <c r="T64" i="8"/>
  <c r="U68" i="8"/>
  <c r="U70" i="8"/>
  <c r="U32" i="8" l="1"/>
  <c r="P104" i="8" l="1"/>
  <c r="P106" i="8"/>
  <c r="P107" i="8"/>
  <c r="P108" i="8"/>
  <c r="P110" i="8"/>
  <c r="B61" i="31" l="1"/>
  <c r="B76" i="31"/>
  <c r="R99" i="8"/>
  <c r="R98" i="8"/>
  <c r="F13" i="8" l="1"/>
  <c r="G13" i="8"/>
  <c r="H13" i="8"/>
  <c r="I13" i="8"/>
  <c r="J13" i="8"/>
  <c r="K13" i="8"/>
  <c r="L13" i="8"/>
  <c r="M13" i="8"/>
  <c r="N13" i="8"/>
  <c r="O13" i="8"/>
  <c r="P13" i="8"/>
  <c r="Q13" i="8"/>
  <c r="R13" i="8"/>
  <c r="S13" i="8"/>
  <c r="T13" i="8"/>
  <c r="U13" i="8"/>
  <c r="E13" i="8"/>
  <c r="Q83" i="8"/>
  <c r="Q82" i="8"/>
  <c r="Y15" i="8"/>
  <c r="X15" i="8"/>
  <c r="Y14" i="8"/>
  <c r="X14" i="8"/>
  <c r="G26" i="8"/>
  <c r="F27" i="8" s="1"/>
  <c r="D123" i="8"/>
  <c r="D120" i="8"/>
  <c r="D117" i="8"/>
  <c r="Y22" i="8"/>
  <c r="X22" i="8"/>
  <c r="Q51" i="8"/>
  <c r="Q52" i="8" s="1"/>
  <c r="Q53" i="8" s="1"/>
  <c r="H25" i="39" s="1"/>
  <c r="H20" i="31" l="1"/>
  <c r="X13" i="8"/>
  <c r="Y13" i="8"/>
  <c r="G27" i="8"/>
  <c r="Q75" i="8" l="1"/>
  <c r="C105" i="8" l="1"/>
  <c r="C102" i="8"/>
  <c r="C88" i="8" s="1"/>
  <c r="C108" i="8"/>
  <c r="F108" i="8" l="1"/>
  <c r="E35" i="31" s="1"/>
  <c r="C94" i="8"/>
  <c r="F105" i="8"/>
  <c r="C91" i="8"/>
  <c r="F102" i="8"/>
  <c r="F88" i="8" s="1"/>
  <c r="E33" i="31" s="1"/>
  <c r="H85" i="8" l="1"/>
  <c r="F91" i="8"/>
  <c r="E34" i="31" s="1"/>
  <c r="F94" i="8"/>
  <c r="I21" i="31"/>
  <c r="R50" i="8" s="1"/>
  <c r="I25" i="31" l="1"/>
  <c r="D36" i="31" s="1"/>
  <c r="C9" i="8"/>
  <c r="N132" i="8"/>
  <c r="N133" i="8"/>
  <c r="N134" i="8"/>
  <c r="N135" i="8"/>
  <c r="B9" i="31"/>
  <c r="B10" i="31"/>
  <c r="B11" i="31"/>
  <c r="B12" i="31"/>
  <c r="B78" i="31"/>
  <c r="B8" i="31"/>
  <c r="B59" i="31"/>
  <c r="B60" i="31"/>
  <c r="B62" i="31"/>
  <c r="B58" i="31"/>
  <c r="B6" i="31"/>
  <c r="B55" i="31" s="1"/>
  <c r="F25" i="31"/>
  <c r="F21" i="31" s="1"/>
  <c r="P50" i="8" s="1"/>
  <c r="B45" i="31"/>
  <c r="P82" i="8"/>
  <c r="P83" i="8"/>
  <c r="A13" i="17"/>
  <c r="C56" i="8"/>
  <c r="A12" i="17"/>
  <c r="C73" i="8"/>
  <c r="A42" i="38"/>
  <c r="B24" i="31"/>
  <c r="B20" i="31"/>
  <c r="C66" i="8"/>
  <c r="A28" i="38"/>
  <c r="A52" i="38"/>
  <c r="C69" i="8"/>
  <c r="A33" i="38"/>
  <c r="B27" i="31"/>
  <c r="A11" i="17"/>
  <c r="C65" i="8"/>
  <c r="C63" i="8"/>
  <c r="A72" i="38"/>
  <c r="C22" i="8"/>
  <c r="P114" i="8" s="1"/>
  <c r="C60" i="8"/>
  <c r="A67" i="38"/>
  <c r="A23" i="38"/>
  <c r="A14" i="17"/>
  <c r="C61" i="8"/>
  <c r="A62" i="38"/>
  <c r="W12" i="8" l="1"/>
  <c r="V12" i="8"/>
  <c r="B36" i="31"/>
  <c r="C77" i="8"/>
  <c r="D50" i="8"/>
  <c r="P81" i="8"/>
  <c r="C130" i="8"/>
  <c r="E130" i="8"/>
  <c r="C132" i="8"/>
  <c r="E132" i="8"/>
  <c r="C128" i="8"/>
  <c r="E128" i="8"/>
  <c r="C137" i="8"/>
  <c r="E137" i="8"/>
  <c r="C135" i="8"/>
  <c r="E135" i="8"/>
  <c r="C127" i="8"/>
  <c r="E127" i="8"/>
  <c r="I96" i="8" s="1"/>
  <c r="C129" i="8"/>
  <c r="E129" i="8"/>
  <c r="C134" i="8"/>
  <c r="E134" i="8"/>
  <c r="C136" i="8"/>
  <c r="E136" i="8"/>
  <c r="C133" i="8"/>
  <c r="E133" i="8"/>
  <c r="C126" i="8"/>
  <c r="E126" i="8"/>
  <c r="C131" i="8"/>
  <c r="E131" i="8"/>
  <c r="P39" i="31"/>
  <c r="P37" i="31"/>
  <c r="P36" i="31"/>
  <c r="P34" i="31"/>
  <c r="P33" i="31"/>
  <c r="P35" i="31"/>
  <c r="C5" i="8"/>
  <c r="P101" i="8" s="1"/>
  <c r="C19" i="8"/>
  <c r="C20" i="8"/>
  <c r="C13" i="8"/>
  <c r="P105" i="8" s="1"/>
  <c r="C17" i="8"/>
  <c r="C10" i="8"/>
  <c r="P102" i="8" s="1"/>
  <c r="C21" i="8"/>
  <c r="C11" i="8"/>
  <c r="L102" i="8" l="1"/>
  <c r="L105" i="8"/>
  <c r="L108" i="8"/>
  <c r="D98" i="8"/>
  <c r="G102" i="8" s="1"/>
  <c r="P111" i="8"/>
  <c r="W19" i="8"/>
  <c r="V19" i="8"/>
  <c r="P103" i="8"/>
  <c r="W11" i="8"/>
  <c r="V11" i="8"/>
  <c r="P113" i="8"/>
  <c r="W21" i="8"/>
  <c r="V21" i="8"/>
  <c r="P112" i="8"/>
  <c r="W20" i="8"/>
  <c r="V20" i="8"/>
  <c r="P109" i="8"/>
  <c r="W17" i="8"/>
  <c r="V17" i="8"/>
  <c r="D27" i="8"/>
  <c r="C26" i="8" s="1"/>
  <c r="P3" i="31" s="1"/>
  <c r="P52" i="31" s="1"/>
  <c r="E117" i="8"/>
  <c r="F117" i="8" s="1"/>
  <c r="E123" i="8"/>
  <c r="F123" i="8" s="1"/>
  <c r="E120" i="8"/>
  <c r="F120" i="8" s="1"/>
  <c r="F25" i="17"/>
  <c r="J2" i="8"/>
  <c r="I2" i="8"/>
  <c r="G88" i="8" l="1"/>
  <c r="D84" i="8" s="1"/>
  <c r="E31" i="31" s="1"/>
  <c r="G108" i="8"/>
  <c r="G94" i="8" s="1"/>
  <c r="G105" i="8"/>
  <c r="G91" i="8" s="1"/>
  <c r="V15" i="8"/>
  <c r="V14" i="8"/>
  <c r="W15" i="8"/>
  <c r="W14" i="8"/>
  <c r="C42" i="8"/>
  <c r="E2" i="8" s="1"/>
  <c r="E64" i="8"/>
  <c r="E45" i="8" s="1"/>
  <c r="M3" i="8" s="1"/>
  <c r="C43" i="8"/>
  <c r="E65" i="8"/>
  <c r="D46" i="8" s="1"/>
  <c r="N3" i="8" s="1"/>
  <c r="C44" i="8"/>
  <c r="E61" i="8"/>
  <c r="C45" i="8"/>
  <c r="C46" i="8"/>
  <c r="N2" i="8" s="1"/>
  <c r="E60" i="8"/>
  <c r="A18" i="17"/>
  <c r="C48" i="8"/>
  <c r="R2" i="8" s="1"/>
  <c r="E62" i="8"/>
  <c r="E43" i="8" s="1"/>
  <c r="K3" i="8" s="1"/>
  <c r="Q27" i="8"/>
  <c r="C49" i="8"/>
  <c r="V2" i="8" s="1"/>
  <c r="E63" i="8"/>
  <c r="D45" i="8" s="1"/>
  <c r="L3" i="8" s="1"/>
  <c r="S28" i="8"/>
  <c r="E22" i="31"/>
  <c r="B40" i="31"/>
  <c r="B29" i="31"/>
  <c r="E68" i="8"/>
  <c r="F47" i="8" s="1"/>
  <c r="Q3" i="8" s="1"/>
  <c r="C47" i="8"/>
  <c r="W13" i="8" l="1"/>
  <c r="V13" i="8"/>
  <c r="D43" i="8"/>
  <c r="J3" i="8" s="1"/>
  <c r="L2" i="8"/>
  <c r="O2" i="8"/>
  <c r="E71" i="8"/>
  <c r="F48" i="8" s="1"/>
  <c r="T3" i="8" s="1"/>
  <c r="A22" i="17"/>
  <c r="E70" i="8"/>
  <c r="E48" i="8" s="1"/>
  <c r="S3" i="8" s="1"/>
  <c r="A21" i="17"/>
  <c r="E73" i="8"/>
  <c r="A24" i="17"/>
  <c r="E69" i="8"/>
  <c r="D48" i="8" s="1"/>
  <c r="R3" i="8" s="1"/>
  <c r="A20" i="17"/>
  <c r="E67" i="8"/>
  <c r="E47" i="8" s="1"/>
  <c r="P3" i="8" s="1"/>
  <c r="A17" i="17"/>
  <c r="E72" i="8"/>
  <c r="G48" i="8" s="1"/>
  <c r="U3" i="8" s="1"/>
  <c r="A23" i="17"/>
  <c r="E59" i="8"/>
  <c r="G42" i="8" s="1"/>
  <c r="H3" i="8" s="1"/>
  <c r="A10" i="17"/>
  <c r="E66" i="8"/>
  <c r="A16" i="17"/>
  <c r="E74" i="8"/>
  <c r="E49" i="8" s="1"/>
  <c r="W3" i="8" s="1"/>
  <c r="A25" i="17"/>
  <c r="E56" i="8"/>
  <c r="A6" i="17"/>
  <c r="E58" i="8"/>
  <c r="F42" i="8" s="1"/>
  <c r="G3" i="8" s="1"/>
  <c r="A9" i="17"/>
  <c r="E57" i="8"/>
  <c r="E42" i="8" s="1"/>
  <c r="F3" i="8" s="1"/>
  <c r="A7" i="17"/>
  <c r="P27" i="8"/>
  <c r="B44" i="31"/>
  <c r="S29" i="8"/>
  <c r="J2" i="31"/>
  <c r="J51" i="31" s="1"/>
  <c r="C41" i="8"/>
  <c r="E55" i="8"/>
  <c r="B39" i="31"/>
  <c r="B35" i="31"/>
  <c r="J25" i="31"/>
  <c r="J21" i="31" s="1"/>
  <c r="S50" i="8" s="1"/>
  <c r="B16" i="31"/>
  <c r="J3" i="31"/>
  <c r="J52" i="31" s="1"/>
  <c r="B33" i="31"/>
  <c r="B26" i="31"/>
  <c r="K8" i="31"/>
  <c r="K10" i="31"/>
  <c r="B25" i="31"/>
  <c r="M25" i="31"/>
  <c r="M21" i="31" s="1"/>
  <c r="K25" i="31"/>
  <c r="F32" i="31"/>
  <c r="F41" i="31"/>
  <c r="B28" i="31"/>
  <c r="F37" i="31"/>
  <c r="M10" i="31"/>
  <c r="H25" i="31"/>
  <c r="H21" i="31" s="1"/>
  <c r="Q50" i="8" s="1"/>
  <c r="B34" i="31"/>
  <c r="B30" i="31"/>
  <c r="B47" i="31"/>
  <c r="B31" i="31"/>
  <c r="B18" i="31"/>
  <c r="M8" i="31"/>
  <c r="B17" i="31"/>
  <c r="N25" i="31"/>
  <c r="N21" i="31" s="1"/>
  <c r="W50" i="8" s="1"/>
  <c r="F39" i="31"/>
  <c r="B15" i="31"/>
  <c r="M9" i="31"/>
  <c r="O25" i="31"/>
  <c r="K9" i="31"/>
  <c r="B43" i="31"/>
  <c r="E32" i="31"/>
  <c r="G31" i="31"/>
  <c r="I3" i="8"/>
  <c r="D44" i="8"/>
  <c r="D32" i="31"/>
  <c r="O21" i="31" l="1"/>
  <c r="X50" i="8" s="1"/>
  <c r="Y32" i="8"/>
  <c r="X32" i="8"/>
  <c r="C34" i="8"/>
  <c r="S79" i="8"/>
  <c r="I30" i="8"/>
  <c r="L30" i="8" s="1"/>
  <c r="T65" i="8"/>
  <c r="W66" i="8"/>
  <c r="V66" i="8"/>
  <c r="U66" i="8"/>
  <c r="T39" i="8" a="1"/>
  <c r="T39" i="8" s="1"/>
  <c r="D49" i="8"/>
  <c r="D47" i="8"/>
  <c r="O3" i="8" s="1"/>
  <c r="D42" i="8"/>
  <c r="D41" i="8"/>
  <c r="S76" i="8"/>
  <c r="S27" i="8"/>
  <c r="V76" i="8"/>
  <c r="U50" i="8"/>
  <c r="D33" i="31"/>
  <c r="K21" i="31"/>
  <c r="T50" i="8" s="1"/>
  <c r="D35" i="31"/>
  <c r="V50" i="8"/>
  <c r="T33" i="8" a="1"/>
  <c r="T32" i="8" a="1"/>
  <c r="T37" i="8" a="1"/>
  <c r="T66" i="8" l="1"/>
  <c r="T68" i="8" s="1"/>
  <c r="T33" i="8"/>
  <c r="T32" i="8"/>
  <c r="S43" i="8" a="1"/>
  <c r="S43" i="8" s="1"/>
  <c r="K30" i="8"/>
  <c r="J30" i="8"/>
  <c r="T37" i="8"/>
  <c r="V3" i="8"/>
  <c r="S45" i="8" a="1"/>
  <c r="S45" i="8" s="1"/>
  <c r="S44" i="8" a="1"/>
  <c r="S44" i="8" s="1"/>
  <c r="S42" i="8" a="1"/>
  <c r="S42" i="8" s="1"/>
  <c r="E3" i="8"/>
  <c r="T70" i="8"/>
  <c r="J33" i="8" l="1"/>
  <c r="S47" i="8"/>
  <c r="T35" i="8" a="1"/>
  <c r="T35" i="8" s="1"/>
  <c r="G32" i="31"/>
  <c r="X37" i="8" l="1" a="1"/>
  <c r="X37" i="8" s="1"/>
  <c r="T36" i="8" l="1"/>
  <c r="W22" i="8"/>
  <c r="F24" i="17"/>
  <c r="F23" i="17"/>
  <c r="F22" i="17"/>
  <c r="F21" i="17"/>
  <c r="F20" i="17"/>
  <c r="F18" i="17"/>
  <c r="F17" i="17"/>
  <c r="F16" i="17"/>
  <c r="F14" i="17"/>
  <c r="F13" i="17"/>
  <c r="F12" i="17"/>
  <c r="F11" i="17"/>
  <c r="F10" i="17"/>
  <c r="F9" i="17"/>
  <c r="F7" i="17"/>
  <c r="F6" i="17"/>
  <c r="I7" i="17"/>
  <c r="I9" i="17"/>
  <c r="I10" i="17"/>
  <c r="I11" i="17"/>
  <c r="I12" i="17"/>
  <c r="I13" i="17"/>
  <c r="I14" i="17"/>
  <c r="I16" i="17"/>
  <c r="I17" i="17"/>
  <c r="I18" i="17"/>
  <c r="I20" i="17"/>
  <c r="I21" i="17"/>
  <c r="I22" i="17"/>
  <c r="I23" i="17"/>
  <c r="I24" i="17"/>
  <c r="I25" i="17"/>
  <c r="I6" i="17"/>
  <c r="F22" i="8"/>
  <c r="G22" i="8"/>
  <c r="H22" i="8"/>
  <c r="I22" i="8"/>
  <c r="J22" i="8"/>
  <c r="K22" i="8"/>
  <c r="L22" i="8"/>
  <c r="M22" i="8"/>
  <c r="N22" i="8"/>
  <c r="O22" i="8"/>
  <c r="P22" i="8"/>
  <c r="Q22" i="8"/>
  <c r="R22" i="8"/>
  <c r="S22" i="8"/>
  <c r="T22" i="8"/>
  <c r="U22" i="8"/>
  <c r="E22" i="8"/>
  <c r="G27" i="31" l="1"/>
  <c r="F24" i="31"/>
  <c r="H27" i="31"/>
  <c r="I22" i="31"/>
  <c r="R51" i="8" s="1"/>
  <c r="R52" i="8" s="1"/>
  <c r="N27" i="31"/>
  <c r="O27" i="31"/>
  <c r="L27" i="31"/>
  <c r="M27" i="31"/>
  <c r="J27" i="31"/>
  <c r="K22" i="31"/>
  <c r="T51" i="8" s="1"/>
  <c r="T52" i="8" s="1"/>
  <c r="P138" i="8"/>
  <c r="E24" i="31"/>
  <c r="B63" i="31" s="1"/>
  <c r="R120" i="8"/>
  <c r="X36" i="8" a="1"/>
  <c r="X36" i="8" s="1"/>
  <c r="R109" i="8"/>
  <c r="R111" i="8"/>
  <c r="R108" i="8"/>
  <c r="R107" i="8"/>
  <c r="R114" i="8"/>
  <c r="R105" i="8"/>
  <c r="H41" i="31"/>
  <c r="R104" i="8"/>
  <c r="P129" i="8" s="1"/>
  <c r="P22" i="31"/>
  <c r="R102" i="8"/>
  <c r="R101" i="8"/>
  <c r="R103" i="8"/>
  <c r="R106" i="8"/>
  <c r="R110" i="8"/>
  <c r="R113" i="8"/>
  <c r="P39" i="8"/>
  <c r="R112" i="8"/>
  <c r="R121" i="8"/>
  <c r="P27" i="31" l="1"/>
  <c r="K27" i="31"/>
  <c r="I27" i="31"/>
  <c r="I36" i="31" s="1"/>
  <c r="I37" i="31" s="1"/>
  <c r="I39" i="31" s="1"/>
  <c r="R122" i="8"/>
  <c r="R123" i="8" s="1"/>
  <c r="P128" i="8"/>
  <c r="P132" i="8" s="1"/>
  <c r="R118" i="8"/>
  <c r="R117" i="8"/>
  <c r="R116" i="8"/>
  <c r="J36" i="31" l="1"/>
  <c r="O36" i="31"/>
  <c r="F36" i="31"/>
  <c r="G36" i="31" s="1"/>
  <c r="K36" i="31"/>
  <c r="K33" i="31" s="1"/>
  <c r="M36" i="31"/>
  <c r="L36" i="31"/>
  <c r="N36" i="31"/>
  <c r="P134" i="8"/>
  <c r="P135" i="8"/>
  <c r="P133" i="8"/>
  <c r="M35" i="31" l="1"/>
  <c r="M37" i="31" s="1"/>
  <c r="M39" i="31" s="1"/>
  <c r="L34" i="31"/>
  <c r="L37" i="31" s="1"/>
  <c r="L39" i="31" s="1"/>
  <c r="R125" i="8"/>
  <c r="R126" i="8" s="1"/>
  <c r="O33" i="31" l="1"/>
  <c r="J33" i="31"/>
  <c r="F35" i="31"/>
  <c r="G35" i="31" s="1"/>
  <c r="K37" i="31"/>
  <c r="K39" i="31" s="1"/>
  <c r="F34" i="31"/>
  <c r="G34" i="31" s="1"/>
  <c r="O34" i="31"/>
  <c r="N33" i="31"/>
  <c r="N34" i="31"/>
  <c r="Q134" i="8"/>
  <c r="Q132" i="8"/>
  <c r="Q133" i="8"/>
  <c r="Q135" i="8"/>
  <c r="F33" i="31" l="1"/>
  <c r="J37" i="31"/>
  <c r="J39" i="31" s="1"/>
  <c r="O37" i="31"/>
  <c r="O39" i="31" s="1"/>
  <c r="N37" i="31"/>
  <c r="N39" i="31" s="1"/>
  <c r="G33" i="31" l="1"/>
  <c r="G41" i="31" s="1"/>
  <c r="G37" i="31" l="1"/>
</calcChain>
</file>

<file path=xl/comments1.xml><?xml version="1.0" encoding="utf-8"?>
<comments xmlns="http://schemas.openxmlformats.org/spreadsheetml/2006/main">
  <authors>
    <author>Irene Weyermann</author>
  </authors>
  <commentList>
    <comment ref="O6" authorId="0" shapeId="0">
      <text>
        <r>
          <rPr>
            <b/>
            <sz val="9"/>
            <color indexed="81"/>
            <rFont val="Segoe UI"/>
            <family val="2"/>
          </rPr>
          <t>Irene Weyermann:</t>
        </r>
        <r>
          <rPr>
            <sz val="9"/>
            <color indexed="81"/>
            <rFont val="Segoe UI"/>
            <family val="2"/>
          </rPr>
          <t xml:space="preserve">
grau = Preise von Feb. 23 (ohne Relevanz)</t>
        </r>
      </text>
    </comment>
  </commentList>
</comments>
</file>

<file path=xl/sharedStrings.xml><?xml version="1.0" encoding="utf-8"?>
<sst xmlns="http://schemas.openxmlformats.org/spreadsheetml/2006/main" count="2268" uniqueCount="827">
  <si>
    <t>Gehalte (kg/m3 unverdünnte Gülle bzw. kg/t Mist)</t>
  </si>
  <si>
    <t>Kühe/Rindviehaufzucht</t>
  </si>
  <si>
    <t>Rindviehmast</t>
  </si>
  <si>
    <t>Kälber</t>
  </si>
  <si>
    <t>Pferde</t>
  </si>
  <si>
    <t>Schafe/Ziegen</t>
  </si>
  <si>
    <t>Schweine</t>
  </si>
  <si>
    <t>Geflügel</t>
  </si>
  <si>
    <t>Hennen/Junghennenmist</t>
  </si>
  <si>
    <t>TS</t>
  </si>
  <si>
    <t>Nlös</t>
  </si>
  <si>
    <t>Nverf</t>
  </si>
  <si>
    <t>P</t>
  </si>
  <si>
    <t>K</t>
  </si>
  <si>
    <t>Mg</t>
  </si>
  <si>
    <t>Ca</t>
  </si>
  <si>
    <t>min</t>
  </si>
  <si>
    <t>max</t>
  </si>
  <si>
    <t>Tierart</t>
  </si>
  <si>
    <t>Hofdüngerart</t>
  </si>
  <si>
    <t>Tabelle 6 | Richtwerte der Gehalte an Trockensubstanz (TS). organischer Substanz (OS) und Nährstoffen von Hofdüngern verschiedener Nutztierarten bei Stallhaltung.</t>
  </si>
  <si>
    <t>Ammonsalpeter</t>
  </si>
  <si>
    <t>Phosphatdünger</t>
  </si>
  <si>
    <t>Kalisalz</t>
  </si>
  <si>
    <t>Gärgut</t>
  </si>
  <si>
    <t>Total</t>
  </si>
  <si>
    <t>Nges</t>
  </si>
  <si>
    <t>Einheit</t>
  </si>
  <si>
    <t>Handelsdünger</t>
  </si>
  <si>
    <t>Nährstoff</t>
  </si>
  <si>
    <t>kg/m3</t>
  </si>
  <si>
    <t>kg</t>
  </si>
  <si>
    <t>Ntot</t>
  </si>
  <si>
    <t>OS</t>
  </si>
  <si>
    <t>Kompost</t>
  </si>
  <si>
    <t>Terrakom (Komposterde) Fr. 52.- / m3</t>
  </si>
  <si>
    <t xml:space="preserve">annahme: </t>
  </si>
  <si>
    <t>dichte</t>
  </si>
  <si>
    <t>g/cm3</t>
  </si>
  <si>
    <t>Reifekompost</t>
  </si>
  <si>
    <t>sfr/m3</t>
  </si>
  <si>
    <t>Frischkompost</t>
  </si>
  <si>
    <t>Bezeichnung</t>
  </si>
  <si>
    <t>Vollgülle</t>
  </si>
  <si>
    <t>Kali 60%</t>
  </si>
  <si>
    <t>Recyclingdünger</t>
  </si>
  <si>
    <t>fest1</t>
  </si>
  <si>
    <t>(GiV 3)</t>
  </si>
  <si>
    <t>flüssig1</t>
  </si>
  <si>
    <t>(GiV 3) .</t>
  </si>
  <si>
    <t>Kompost 2</t>
  </si>
  <si>
    <t>kg pro t Frischsubstanz</t>
  </si>
  <si>
    <t>min 4</t>
  </si>
  <si>
    <t>max 5</t>
  </si>
  <si>
    <t>n 6</t>
  </si>
  <si>
    <t>n</t>
  </si>
  <si>
    <t>P (P2O5)</t>
  </si>
  <si>
    <t>K (K2O)</t>
  </si>
  <si>
    <t>Salzgehalt (mS/cm) 9</t>
  </si>
  <si>
    <t>Nverf (%)</t>
  </si>
  <si>
    <t>Stapelmist</t>
  </si>
  <si>
    <t>Laufstallmist</t>
  </si>
  <si>
    <t>Kälbermist</t>
  </si>
  <si>
    <t>Pferdemist</t>
  </si>
  <si>
    <t>Schaf-/Ziegenmist</t>
  </si>
  <si>
    <t>Schweinegülle Mast</t>
  </si>
  <si>
    <t>Schweinegülle Zucht</t>
  </si>
  <si>
    <t>Schweinemist</t>
  </si>
  <si>
    <t>Trutenmist</t>
  </si>
  <si>
    <t>Pouletmist</t>
  </si>
  <si>
    <t>Hennen (Kotband)</t>
  </si>
  <si>
    <t>Auswahlmatrix 1</t>
  </si>
  <si>
    <t>Auswahlmatrix 2</t>
  </si>
  <si>
    <t>preis pro t</t>
  </si>
  <si>
    <t>preis  pro kg TS</t>
  </si>
  <si>
    <t>preis  pro kg OS</t>
  </si>
  <si>
    <t>Grüngut Kompost</t>
  </si>
  <si>
    <t>Gegenwertsrechner Hofdünger zu Handelsdünger</t>
  </si>
  <si>
    <t xml:space="preserve">In den gewählten Handelsdüngern sind Mg, Ca enthalten, womit sie in der Berechnung entfallen. </t>
  </si>
  <si>
    <t>Keine Auswahl</t>
  </si>
  <si>
    <t>Glühverlust</t>
  </si>
  <si>
    <t>Tabelle 7 | Anteil des mittelfristig und im Anwendungsjahr verfügbaren Stickstoffs (Nverf) in verschiedenen Hofdüngern.</t>
  </si>
  <si>
    <t>Mittelfristige N-Verfügbarkeit</t>
  </si>
  <si>
    <t>in % des</t>
  </si>
  <si>
    <t>Gesamt-N-Gehaltes1</t>
  </si>
  <si>
    <t>N-Verfügbarkeit im Anwendungsjahr</t>
  </si>
  <si>
    <t>in % des Gesamt-N-Gehaltes 2 .</t>
  </si>
  <si>
    <t>Rindviehgülle, kotarm</t>
  </si>
  <si>
    <t>50–70</t>
  </si>
  <si>
    <t>Schaf- und Ziegenmist</t>
  </si>
  <si>
    <t>40–60 3</t>
  </si>
  <si>
    <t>Schweinegülle</t>
  </si>
  <si>
    <t>Hennenkot (Kotband)</t>
  </si>
  <si>
    <t>Hennenmist (Kotgrube, Bodenhaltung)</t>
  </si>
  <si>
    <t>Geflügelmist (Mast), Poulet, Truten</t>
  </si>
  <si>
    <t>1 Diese Verfügbarkeit kann bei optimaler Verwertung der Dünger unter durchschnittlichen schweizerischen Boden- und Klimaverhältnissen erreicht</t>
  </si>
  <si>
    <t>werden. Sie umfasst sowohl die kurzfristige Wirkung wie die Nachwirkung in den folgenden Jahren (vgl. auch Definition Nverf in Anhang 1). Auf</t>
  </si>
  <si>
    <t>Parzellen, die regelmässig Hofdünger erhalten, kann diese Verfügbarkeit in Düngungsberechnungen verwendet werden, da damit auf einfache</t>
  </si>
  <si>
    <t>Weise auch die Nachwirkung früherer Hofdüngergaben berücksichtigt wird. Bei einmaligen Mistgaben kann die N-Wirkung auf zwei bis drei Jahre</t>
  </si>
  <si>
    <t>verteilt werden. Bei Gülle ist dies kaum sinnvoll. Im Futterbau ist eher mit den oberen, im Ackerbau eher mit den unteren Werten des angegebenen</t>
  </si>
  <si>
    <t>Bereiches zu rechnen.</t>
  </si>
  <si>
    <t>2 N-Verfügbarkeit im Anwendungsjahr bei optimalem, verlustarmem Einsatz der Dünger. Der restliche N wird in den Folgejahren mineralisiert. Die</t>
  </si>
  <si>
    <t>Mineralisierung ist stark von den Boden- und Witterungsbedingungen abhängig. Die N-Verfügbarkeit kann je nach Zeitpunkt der Mineralisierung</t>
  </si>
  <si>
    <t>eine unterschiedliche agronomische und/oder ökologische Wirkung (Ertrag und Qualität der Pflanzen, Verluste) haben (vgl. auch Definition Nverf</t>
  </si>
  <si>
    <t>in Anhang 1).</t>
  </si>
  <si>
    <t>3 Auf Böden mit einem Tongehalt von über 30 % kann höchstens mit dem unteren Wert des Streubereichs der mittelfristigen N-Verfügbarkeit</t>
  </si>
  <si>
    <t>gerechnet werden; oft ist die Verfügbarkeit unter diesen Bodenbedingungen noch wesentlich tiefer. Entsprechend gering ist auch die Verfügbarkeit</t>
  </si>
  <si>
    <t>im ersten Jahr nach der Anwendung.</t>
  </si>
  <si>
    <t>4 Die Anwendung dieser Hofdüngerarten ist im Naturfutterbau nicht empfohlen.</t>
  </si>
  <si>
    <t>Futterbau</t>
  </si>
  <si>
    <t>Ackerbau</t>
  </si>
  <si>
    <t>hofdüngernach tab 6</t>
  </si>
  <si>
    <t>Biogasanlage</t>
  </si>
  <si>
    <t>werte geschätzt. Referenzen?</t>
  </si>
  <si>
    <t>Mittelwert</t>
  </si>
  <si>
    <t>Rot: Werte geschätzt. Grün: aus Suisse-Bilanz</t>
  </si>
  <si>
    <t>Sprache:</t>
  </si>
  <si>
    <t>Deutsch</t>
  </si>
  <si>
    <t>Français</t>
  </si>
  <si>
    <t>Italiano</t>
  </si>
  <si>
    <t>Sprache</t>
  </si>
  <si>
    <t>Anleitung</t>
  </si>
  <si>
    <t>Guida</t>
  </si>
  <si>
    <t>Langue:</t>
  </si>
  <si>
    <t>Lingua:</t>
  </si>
  <si>
    <t>grüne Zellen:</t>
  </si>
  <si>
    <t>Cases vertes:</t>
  </si>
  <si>
    <t>Celle verdi:</t>
  </si>
  <si>
    <t>gelbe Zeilen:</t>
  </si>
  <si>
    <t>Cases jaunes:</t>
  </si>
  <si>
    <t>Celle gialle:</t>
  </si>
  <si>
    <t xml:space="preserve">weisse Zellen: </t>
  </si>
  <si>
    <t>Cases blanches:</t>
  </si>
  <si>
    <t>Celle bianche:</t>
  </si>
  <si>
    <t>Auswahllisten</t>
  </si>
  <si>
    <t xml:space="preserve">listes déroulantes </t>
  </si>
  <si>
    <t>zur Dateneingabe</t>
  </si>
  <si>
    <t>saisie des données</t>
  </si>
  <si>
    <t>gesperrte Zellen</t>
  </si>
  <si>
    <t>Vorgehen:</t>
  </si>
  <si>
    <t>Marche à suivre:</t>
  </si>
  <si>
    <t>Procedura:</t>
  </si>
  <si>
    <t>Bemerkungen</t>
  </si>
  <si>
    <t>Zu ersetzende Nährstoffe</t>
  </si>
  <si>
    <t>(in % TS)</t>
  </si>
  <si>
    <t>Datum Düngerpreise</t>
  </si>
  <si>
    <t>Monat</t>
  </si>
  <si>
    <t>Jahr</t>
  </si>
  <si>
    <t>Ammonsalpeter 27% + Mg</t>
  </si>
  <si>
    <t>Granuphos 18</t>
  </si>
  <si>
    <t>CHF/dt K</t>
  </si>
  <si>
    <t>CHF/dt P</t>
  </si>
  <si>
    <t>Triplesuperphosphat 46%</t>
  </si>
  <si>
    <t>CHF/dt N</t>
  </si>
  <si>
    <t>Mg-Ammonsalpeter 24% + 5 Mg + 7 S</t>
  </si>
  <si>
    <t>Mgs-Ammonsalpeter 25N, 2.5Mg, 8.5S</t>
  </si>
  <si>
    <t>Wert</t>
  </si>
  <si>
    <t>EP</t>
  </si>
  <si>
    <t>EP18_ID</t>
  </si>
  <si>
    <t>Kalimagnesia 30% + 6Mg (Patentkali)</t>
  </si>
  <si>
    <t>September 2022</t>
  </si>
  <si>
    <t>bereich verschieben</t>
  </si>
  <si>
    <t>c23</t>
  </si>
  <si>
    <t>bezug</t>
  </si>
  <si>
    <t xml:space="preserve">zeilen </t>
  </si>
  <si>
    <t>spalten</t>
  </si>
  <si>
    <t>höhe</t>
  </si>
  <si>
    <t xml:space="preserve">Kombinationstest: </t>
  </si>
  <si>
    <t>kommt Auswahl 1 in vektor vor?</t>
  </si>
  <si>
    <t>kommt auswahl 2 Vektor vor?</t>
  </si>
  <si>
    <t>Endkriterium</t>
  </si>
  <si>
    <t>Endkriterium direkt</t>
  </si>
  <si>
    <t>Gülle Kotarm</t>
  </si>
  <si>
    <t>Hofdünger BereichFormel via Indirekt(Adresse()) &lt;- funktioniert besser</t>
  </si>
  <si>
    <t>Via Indirekt(Adresse()) &lt;- funktioniert besser!</t>
  </si>
  <si>
    <t>test</t>
  </si>
  <si>
    <t>Summe</t>
  </si>
  <si>
    <t>Differenz</t>
  </si>
  <si>
    <t>&lt;- achtung hat noch ein WENN drin!</t>
  </si>
  <si>
    <t xml:space="preserve">Tabelle GRUD 17 </t>
  </si>
  <si>
    <t>Werte von Albert Meier, Oekostrom Schweiz</t>
  </si>
  <si>
    <t xml:space="preserve">Gährgülle </t>
  </si>
  <si>
    <t>Ausrechnen?</t>
  </si>
  <si>
    <t>Gährmist</t>
  </si>
  <si>
    <t>Gährgut fest</t>
  </si>
  <si>
    <t>Dichte</t>
  </si>
  <si>
    <t>GlV</t>
  </si>
  <si>
    <t>GLV: flüssig: 46; GlV Fest 42</t>
  </si>
  <si>
    <t>Ldw. Gährgülle</t>
  </si>
  <si>
    <t>Kompogas Gährgülle</t>
  </si>
  <si>
    <t>Gärgut flüssig</t>
  </si>
  <si>
    <t>Gärgülle</t>
  </si>
  <si>
    <t>Gärmist</t>
  </si>
  <si>
    <t>Ja</t>
  </si>
  <si>
    <t>GRUD 17</t>
  </si>
  <si>
    <t>Nein</t>
  </si>
  <si>
    <t>Nährstoffersatzrechnung</t>
  </si>
  <si>
    <t>Bezug</t>
  </si>
  <si>
    <t>Preis</t>
  </si>
  <si>
    <t>Menge</t>
  </si>
  <si>
    <t>Nährstoffabgleich</t>
  </si>
  <si>
    <t>Sprachauswahl</t>
  </si>
  <si>
    <t>Mittelwerte</t>
  </si>
  <si>
    <t>Ungültige Kombination</t>
  </si>
  <si>
    <t>Achtung im Kombinationstest werden Matrixfunktionen gebraucht! (mit strg-Umschalt-Enter ablschiessen sonst ergibts sich #Wert!)</t>
  </si>
  <si>
    <t>Auwahl Analyse</t>
  </si>
  <si>
    <t>Bereich mit Berechnungen und Formelsammlung</t>
  </si>
  <si>
    <t>Auswahl Hofdünger</t>
  </si>
  <si>
    <t>Suchkriterien Düngerpreise</t>
  </si>
  <si>
    <t>Dateneingabe</t>
  </si>
  <si>
    <t>Mittelwerte GRUD 17</t>
  </si>
  <si>
    <t>CHF pro  t</t>
  </si>
  <si>
    <t>Mittelwerte Ökostrom</t>
  </si>
  <si>
    <t>hier erfassen</t>
  </si>
  <si>
    <t xml:space="preserve">Hofdüngeranalyse </t>
  </si>
  <si>
    <t>Analyse</t>
  </si>
  <si>
    <t>3. Falls "Eigene Analyse" mit "Ja" ausgewählt: Bitte Werte in den gelben Bereich eingeben.</t>
  </si>
  <si>
    <t>Eigene Analyse</t>
  </si>
  <si>
    <t>Datenauswahl</t>
  </si>
  <si>
    <t>Calcolo del controvalore del concime aziendale rispetto ai fertilizzanti commerciali</t>
  </si>
  <si>
    <t>3. Se si seleziona "Analisi propria", inserire i valori nella cella gialla.</t>
  </si>
  <si>
    <t>Sélection</t>
  </si>
  <si>
    <t>Origine dei valori</t>
  </si>
  <si>
    <t>Engrais de ferme</t>
  </si>
  <si>
    <t>Data Prezzi dei fertilizzanti</t>
  </si>
  <si>
    <t xml:space="preserve">Il tenore di macronutrienti del compost è incluso nel calcolo. In questo modo, l'effetto positivo sull'humus e i micronutrienti del letame da cortile sono in linea di principio coperti. </t>
  </si>
  <si>
    <t xml:space="preserve">I fertilizzanti commerciali selezionati contengono Mg e Ca, che non sono stati quindi inclusi nel calcolo. </t>
  </si>
  <si>
    <t>Le bilan des substances montre les différences de teneur entre l'engrais de ferme choisi et le substitut calculé.</t>
  </si>
  <si>
    <t>Il bilancio delle sostanze mostra le differenze di tenore tra il concime selezionato e il sostituto calcolato.</t>
  </si>
  <si>
    <t>Nutrienti da sostituire</t>
  </si>
  <si>
    <t xml:space="preserve">Calcolo secondo </t>
  </si>
  <si>
    <t>Calcolo della sostituzione dei nutrienti</t>
  </si>
  <si>
    <t>Engrais du commerce</t>
  </si>
  <si>
    <t>Fertilizzante commerciale</t>
  </si>
  <si>
    <t>Nitrato d'ammonio</t>
  </si>
  <si>
    <t>Engrais phosphatés</t>
  </si>
  <si>
    <t>Fertilizzante fosfatico</t>
  </si>
  <si>
    <t>Sale di potassio</t>
  </si>
  <si>
    <t>Compost</t>
  </si>
  <si>
    <t>Remarques</t>
  </si>
  <si>
    <t>Osservazioni</t>
  </si>
  <si>
    <t>Élément nutritif</t>
  </si>
  <si>
    <t>Nutriente</t>
  </si>
  <si>
    <t>Settembre 2022</t>
  </si>
  <si>
    <t>Designazione</t>
  </si>
  <si>
    <t>Nitrate d'ammoniaque 27% + Mg</t>
  </si>
  <si>
    <t>Nitrato ammonico 27% + Mg</t>
  </si>
  <si>
    <t>Potassio 60%</t>
  </si>
  <si>
    <t>Rifiuti vegetali Compost</t>
  </si>
  <si>
    <t>Unité</t>
  </si>
  <si>
    <t>Unità</t>
  </si>
  <si>
    <t>Quantité</t>
  </si>
  <si>
    <t>Quantità</t>
  </si>
  <si>
    <t>Prix</t>
  </si>
  <si>
    <t>Prezzo</t>
  </si>
  <si>
    <t>Regolazione dei nutrienti</t>
  </si>
  <si>
    <t>Somme</t>
  </si>
  <si>
    <t>Somma</t>
  </si>
  <si>
    <t>Différence</t>
  </si>
  <si>
    <t>Differenza</t>
  </si>
  <si>
    <t>SS</t>
  </si>
  <si>
    <t>(en % MS)</t>
  </si>
  <si>
    <t>(in % SS)</t>
  </si>
  <si>
    <t xml:space="preserve">SO </t>
  </si>
  <si>
    <r>
      <t>N</t>
    </r>
    <r>
      <rPr>
        <vertAlign val="subscript"/>
        <sz val="10"/>
        <rFont val="Arial"/>
        <family val="2"/>
      </rPr>
      <t xml:space="preserve">disp </t>
    </r>
    <r>
      <rPr>
        <sz val="10"/>
        <rFont val="Arial"/>
        <family val="2"/>
      </rPr>
      <t xml:space="preserve"> </t>
    </r>
  </si>
  <si>
    <r>
      <t>P</t>
    </r>
    <r>
      <rPr>
        <vertAlign val="subscript"/>
        <sz val="10"/>
        <rFont val="Arial"/>
        <family val="2"/>
      </rPr>
      <t>2</t>
    </r>
    <r>
      <rPr>
        <sz val="10"/>
        <rFont val="Arial"/>
        <family val="2"/>
      </rPr>
      <t>O</t>
    </r>
    <r>
      <rPr>
        <vertAlign val="subscript"/>
        <sz val="10"/>
        <rFont val="Arial"/>
        <family val="2"/>
      </rPr>
      <t>5</t>
    </r>
  </si>
  <si>
    <r>
      <t>K</t>
    </r>
    <r>
      <rPr>
        <vertAlign val="subscript"/>
        <sz val="10"/>
        <rFont val="Arial"/>
        <family val="2"/>
      </rPr>
      <t>2</t>
    </r>
    <r>
      <rPr>
        <sz val="10"/>
        <rFont val="Arial"/>
        <family val="2"/>
      </rPr>
      <t>O</t>
    </r>
  </si>
  <si>
    <t>Totale</t>
  </si>
  <si>
    <t>Nessuna selezione</t>
  </si>
  <si>
    <t xml:space="preserve">Allevamento di vacche/bovini </t>
  </si>
  <si>
    <t>Bovini da ingrasso</t>
  </si>
  <si>
    <t>Vitelli</t>
  </si>
  <si>
    <t>Cavalli</t>
  </si>
  <si>
    <t>Pecore/capre</t>
  </si>
  <si>
    <t>Maiali</t>
  </si>
  <si>
    <t>Volaille</t>
  </si>
  <si>
    <t>Pollame</t>
  </si>
  <si>
    <t>Installation de biogaz</t>
  </si>
  <si>
    <t>Impianto di biogas</t>
  </si>
  <si>
    <t>Liquame completo</t>
  </si>
  <si>
    <t>Liquame povero di sterco</t>
  </si>
  <si>
    <t>Letame di mucchio</t>
  </si>
  <si>
    <t>Fumier de stabulation libre</t>
  </si>
  <si>
    <t>Letame di stabulazione</t>
  </si>
  <si>
    <t>Letame di vitello</t>
  </si>
  <si>
    <t>Letame di cavallo. Fresco</t>
  </si>
  <si>
    <t>Letame di cavallo</t>
  </si>
  <si>
    <t>Fumier de mouton/chèvre</t>
  </si>
  <si>
    <t>Letame di pecora/capra</t>
  </si>
  <si>
    <t>Letame di maiale Ingrasso</t>
  </si>
  <si>
    <t>Letame di maiale Allevamento</t>
  </si>
  <si>
    <t>Fumier de porc</t>
  </si>
  <si>
    <t>Letame di maiale</t>
  </si>
  <si>
    <t>Galline (nastro per deiezioni)</t>
  </si>
  <si>
    <t>Pollina di gallina/pollastrella</t>
  </si>
  <si>
    <t>Pollina di pollo da ingrasso</t>
  </si>
  <si>
    <t>Fumier de dinde</t>
  </si>
  <si>
    <t>Pollina di tacchino</t>
  </si>
  <si>
    <t>Liquame fermentato</t>
  </si>
  <si>
    <t>Letame fermentato</t>
  </si>
  <si>
    <t>Combinazione non valida</t>
  </si>
  <si>
    <t>Analyse propre</t>
  </si>
  <si>
    <t>Analisi propria</t>
  </si>
  <si>
    <t>Valori medi</t>
  </si>
  <si>
    <t>Oui</t>
  </si>
  <si>
    <t>Sì</t>
  </si>
  <si>
    <t>Non</t>
  </si>
  <si>
    <t>No</t>
  </si>
  <si>
    <t>Januar</t>
  </si>
  <si>
    <t>Janvier</t>
  </si>
  <si>
    <t>Gennaio</t>
  </si>
  <si>
    <t>Februar</t>
  </si>
  <si>
    <t>Février</t>
  </si>
  <si>
    <t>Febbraio</t>
  </si>
  <si>
    <t>März</t>
  </si>
  <si>
    <t>Mars</t>
  </si>
  <si>
    <t>Marzo</t>
  </si>
  <si>
    <t>April</t>
  </si>
  <si>
    <t>Avril</t>
  </si>
  <si>
    <t>Aprile</t>
  </si>
  <si>
    <t>Mai</t>
  </si>
  <si>
    <t>Maggio</t>
  </si>
  <si>
    <t>Juni</t>
  </si>
  <si>
    <t>Juin</t>
  </si>
  <si>
    <t>Giugno</t>
  </si>
  <si>
    <t>Juli</t>
  </si>
  <si>
    <t>Juillet</t>
  </si>
  <si>
    <t>Luglio</t>
  </si>
  <si>
    <t>August</t>
  </si>
  <si>
    <t>Août</t>
  </si>
  <si>
    <t>Agosto</t>
  </si>
  <si>
    <t>September</t>
  </si>
  <si>
    <t>Septembre</t>
  </si>
  <si>
    <t>Settembre</t>
  </si>
  <si>
    <t>Oktober</t>
  </si>
  <si>
    <t>Octobre</t>
  </si>
  <si>
    <t>Ottobre</t>
  </si>
  <si>
    <t>November</t>
  </si>
  <si>
    <t>Novembre</t>
  </si>
  <si>
    <t>Dezember</t>
  </si>
  <si>
    <t>Décembre</t>
  </si>
  <si>
    <t>Dicembre</t>
  </si>
  <si>
    <t>Riferimento</t>
  </si>
  <si>
    <r>
      <t>Entrée</t>
    </r>
    <r>
      <rPr>
        <sz val="8"/>
        <color rgb="FF074D7E"/>
        <rFont val="Arial"/>
        <family val="2"/>
      </rPr>
      <t> </t>
    </r>
    <r>
      <rPr>
        <sz val="8"/>
        <rFont val="Arial"/>
        <family val="2"/>
      </rPr>
      <t>de</t>
    </r>
    <r>
      <rPr>
        <sz val="8"/>
        <color rgb="FF074D7E"/>
        <rFont val="Arial"/>
        <family val="2"/>
      </rPr>
      <t> </t>
    </r>
    <r>
      <rPr>
        <sz val="8"/>
        <rFont val="Arial"/>
        <family val="2"/>
      </rPr>
      <t>données</t>
    </r>
  </si>
  <si>
    <t>Granuphos 18, 18P:4.8Mg:64CaCo3</t>
  </si>
  <si>
    <t>Kali 60% granuliert</t>
  </si>
  <si>
    <t>Auswahl Ja/Nein</t>
  </si>
  <si>
    <t>Tests:</t>
  </si>
  <si>
    <t>Kombinations Test Sprache:</t>
  </si>
  <si>
    <t>Hofdünger befindet sich in Liste</t>
  </si>
  <si>
    <t>Tierart befindet sich in Liste</t>
  </si>
  <si>
    <t>Analyse Ja, Nein in der richtigen sprache</t>
  </si>
  <si>
    <t>Auswahl Düngerpreise</t>
  </si>
  <si>
    <t>Alle Wahr</t>
  </si>
  <si>
    <t>&lt;- nicht benutzt</t>
  </si>
  <si>
    <t>&lt;- Sprachkombination auch drin</t>
  </si>
  <si>
    <t>EndEnd-Test</t>
  </si>
  <si>
    <t>Manuel d'utilisation</t>
  </si>
  <si>
    <t>Calculateur d'équivalence de valeur des engrais de ferme</t>
  </si>
  <si>
    <t>cases bloquées pour la saisie</t>
  </si>
  <si>
    <t>Calculateur d'équivalence des engrais de ferme par rapport aux engrais du commerce</t>
  </si>
  <si>
    <t>Provenance des valeurs</t>
  </si>
  <si>
    <t>Date du prix des engrais</t>
  </si>
  <si>
    <t xml:space="preserve">La teneur en macronutriments du compost est également prise en compte. Ainsi, l'effet favorisant la matière organique et les micronutriments de l'engrais de ferme sont en principe couverts. </t>
  </si>
  <si>
    <t xml:space="preserve">Les engrais du commerce choisis contiennent du Mg et du Ca ce qui permet de ne pas en tenir compte dans le calcul.  </t>
  </si>
  <si>
    <r>
      <t>N</t>
    </r>
    <r>
      <rPr>
        <i/>
        <sz val="10"/>
        <color rgb="FFFF0000"/>
        <rFont val="Arial"/>
        <family val="2"/>
      </rPr>
      <t>disp</t>
    </r>
    <r>
      <rPr>
        <sz val="10"/>
        <rFont val="Arial"/>
        <family val="2"/>
      </rPr>
      <t>, P2O5 et K2O, et suivant le choix, matière organique sont remplacés 1:1.</t>
    </r>
  </si>
  <si>
    <t>Eléments nutritifs à remplacer</t>
  </si>
  <si>
    <t>Calculs selon</t>
  </si>
  <si>
    <t>Calcul de la substiution d'éléments nutritifs</t>
  </si>
  <si>
    <t>Sels de potasse</t>
  </si>
  <si>
    <t>Retrait</t>
  </si>
  <si>
    <t>Elément fertilisant</t>
  </si>
  <si>
    <t>Description</t>
  </si>
  <si>
    <t xml:space="preserve">Potasse 60% </t>
  </si>
  <si>
    <t>Compost de déchets verts</t>
  </si>
  <si>
    <t>Équilibre des nutriments</t>
  </si>
  <si>
    <t>CHF par tonne</t>
  </si>
  <si>
    <t>MS</t>
  </si>
  <si>
    <r>
      <t>N</t>
    </r>
    <r>
      <rPr>
        <i/>
        <sz val="10"/>
        <color rgb="FFFF0000"/>
        <rFont val="Arial"/>
        <family val="2"/>
      </rPr>
      <t>tot</t>
    </r>
  </si>
  <si>
    <r>
      <t>N</t>
    </r>
    <r>
      <rPr>
        <i/>
        <sz val="10"/>
        <color rgb="FFFF0000"/>
        <rFont val="Arial"/>
        <family val="2"/>
      </rPr>
      <t>disp</t>
    </r>
  </si>
  <si>
    <t>Aucun choix</t>
  </si>
  <si>
    <t>Vache/bovin d'élevage</t>
  </si>
  <si>
    <t>Bovin à l'engrais</t>
  </si>
  <si>
    <t>Veau</t>
  </si>
  <si>
    <t>Cheval</t>
  </si>
  <si>
    <t>Mouton/chèvre</t>
  </si>
  <si>
    <t>Pors</t>
  </si>
  <si>
    <t>Purin complet</t>
  </si>
  <si>
    <t>Purin pauvre en fèces</t>
  </si>
  <si>
    <t>Fumier au tas</t>
  </si>
  <si>
    <t>Fumier de veau</t>
  </si>
  <si>
    <t>Fumier de cheval frais</t>
  </si>
  <si>
    <r>
      <t xml:space="preserve">Fumier de cheval </t>
    </r>
    <r>
      <rPr>
        <sz val="10"/>
        <color rgb="FFFF0000"/>
        <rFont val="Arial"/>
        <family val="2"/>
      </rPr>
      <t>mûr</t>
    </r>
  </si>
  <si>
    <t>Lisier de porc, engrais</t>
  </si>
  <si>
    <t>Lisier de porc d'élevage</t>
  </si>
  <si>
    <t>Crottes de poules/poulettes (tapis à crottes)</t>
  </si>
  <si>
    <t>Fumier de poules/poulettes</t>
  </si>
  <si>
    <t xml:space="preserve">Fumier de poulet </t>
  </si>
  <si>
    <t>Digestat de purin</t>
  </si>
  <si>
    <t>Digestat de fumier</t>
  </si>
  <si>
    <t>Valeurs de vos propres analyses</t>
  </si>
  <si>
    <t>Valeur moyenne</t>
  </si>
  <si>
    <t>Valeur moyenne Oekostrom</t>
  </si>
  <si>
    <t>Novembtre</t>
  </si>
  <si>
    <t>Perdita al fuoco</t>
  </si>
  <si>
    <t>Calcolatore dell'equivalenza del valore del letame da cortile</t>
  </si>
  <si>
    <t>Granuphos 17</t>
  </si>
  <si>
    <r>
      <t>P</t>
    </r>
    <r>
      <rPr>
        <vertAlign val="subscript"/>
        <sz val="10"/>
        <rFont val="Arial"/>
        <family val="2"/>
      </rPr>
      <t>2</t>
    </r>
    <r>
      <rPr>
        <sz val="10"/>
        <rFont val="Arial"/>
        <family val="2"/>
      </rPr>
      <t>O</t>
    </r>
    <r>
      <rPr>
        <vertAlign val="subscript"/>
        <sz val="10"/>
        <rFont val="Arial"/>
        <family val="2"/>
      </rPr>
      <t>4</t>
    </r>
    <r>
      <rPr>
        <sz val="11"/>
        <color theme="1"/>
        <rFont val="Calibri"/>
        <family val="2"/>
        <scheme val="minor"/>
      </rPr>
      <t/>
    </r>
  </si>
  <si>
    <r>
      <t>C</t>
    </r>
    <r>
      <rPr>
        <sz val="10"/>
        <color rgb="FFFF0000"/>
        <rFont val="Arial"/>
        <family val="2"/>
      </rPr>
      <t>ombinaison incorrecte</t>
    </r>
  </si>
  <si>
    <t>Analisi del letame aziendale</t>
  </si>
  <si>
    <t>CHF/ kg</t>
  </si>
  <si>
    <t>kg / t</t>
  </si>
  <si>
    <t>CHF / t</t>
  </si>
  <si>
    <t>menu di scelta</t>
  </si>
  <si>
    <t>celle bloccate</t>
  </si>
  <si>
    <t>CHF/t</t>
  </si>
  <si>
    <t>CHF/kg</t>
  </si>
  <si>
    <t>inserire qui</t>
  </si>
  <si>
    <t>Analisi</t>
  </si>
  <si>
    <t>Valori medi Ökostrom Schweiz</t>
  </si>
  <si>
    <t>Valori medi PRIC '17</t>
  </si>
  <si>
    <t>PRIC '17</t>
  </si>
  <si>
    <t>Ökostrom Schweiz</t>
  </si>
  <si>
    <t>per inserire i dati</t>
  </si>
  <si>
    <t>Inserire i dati</t>
  </si>
  <si>
    <t>Scegliere i dati</t>
  </si>
  <si>
    <t>2. Se devono essere utilizzati valori di analisi propri scegliere "Sì" nel menù "Analisi propria". Se si sceglie "No" vengono utilizzati valori medi.</t>
  </si>
  <si>
    <t>Septembre 2023</t>
  </si>
  <si>
    <t>Perte au feu</t>
  </si>
  <si>
    <t>Valeur moyenne PRIF '17</t>
  </si>
  <si>
    <t>PRIF '17</t>
  </si>
  <si>
    <t>Version:</t>
  </si>
  <si>
    <t>Versione:</t>
  </si>
  <si>
    <t>kg / m3</t>
  </si>
  <si>
    <t>Test: Eingabe Werte muss Zahl sein</t>
  </si>
  <si>
    <t xml:space="preserve">Test: </t>
  </si>
  <si>
    <t>Bitte nur Zahlen eingeben!</t>
  </si>
  <si>
    <t>Name / Vorname</t>
  </si>
  <si>
    <t>Strasse / Hof</t>
  </si>
  <si>
    <t>PLZ / Ort</t>
  </si>
  <si>
    <t>Telefon</t>
  </si>
  <si>
    <t>Notizen</t>
  </si>
  <si>
    <t>**Angenommene Dichte von Gülle: 1 t / m3</t>
  </si>
  <si>
    <t>NH3 verluste</t>
  </si>
  <si>
    <t>Schleppschlauch</t>
  </si>
  <si>
    <t>Schleppschuh</t>
  </si>
  <si>
    <t>Gülledrill</t>
  </si>
  <si>
    <t>Breitverteiler</t>
  </si>
  <si>
    <t>Tabelle reduktion in %</t>
  </si>
  <si>
    <t>Gegenwert:</t>
  </si>
  <si>
    <t>Auswahl (Test)</t>
  </si>
  <si>
    <t>Werterhöhung bei Einsatz emissionsmindernden Ausbringungsverfahren pro m3</t>
  </si>
  <si>
    <t>Tabelle 3-20 für die Humusproduktion notwendige Düngerfracht (Praxishandbuch organische Düngung)</t>
  </si>
  <si>
    <t>Dünger</t>
  </si>
  <si>
    <t>Stallmist</t>
  </si>
  <si>
    <t>Gülle (Ohne Stroh)</t>
  </si>
  <si>
    <t>Gärreste fest</t>
  </si>
  <si>
    <t>Gärreste flüssig</t>
  </si>
  <si>
    <t>Stroh</t>
  </si>
  <si>
    <t>ergänzt aus Tab 3.19</t>
  </si>
  <si>
    <t>C/N Quotient</t>
  </si>
  <si>
    <t>humifizierungskoefffizient (HC/DC)</t>
  </si>
  <si>
    <t>Bedarf für 500kg C in t Dünger</t>
  </si>
  <si>
    <t>Gesamt verluste</t>
  </si>
  <si>
    <t>Gärgut fest</t>
  </si>
  <si>
    <t>humidifizierungskoeffizient N</t>
  </si>
  <si>
    <t>Nhum</t>
  </si>
  <si>
    <t>NH3v/Nlös</t>
  </si>
  <si>
    <t>Datumsauswahl:</t>
  </si>
  <si>
    <t>mean</t>
  </si>
  <si>
    <r>
      <t>CHF pro m</t>
    </r>
    <r>
      <rPr>
        <vertAlign val="superscript"/>
        <sz val="10"/>
        <rFont val="Arial"/>
        <family val="2"/>
      </rPr>
      <t>3</t>
    </r>
  </si>
  <si>
    <r>
      <t>CHF per  m</t>
    </r>
    <r>
      <rPr>
        <vertAlign val="superscript"/>
        <sz val="10"/>
        <color theme="1"/>
        <rFont val="Arial"/>
        <family val="2"/>
      </rPr>
      <t>3</t>
    </r>
  </si>
  <si>
    <t>CHF par m3</t>
  </si>
  <si>
    <t>Heute</t>
  </si>
  <si>
    <t>Nverfmax</t>
  </si>
  <si>
    <t>Verdünnung</t>
  </si>
  <si>
    <t>1:1</t>
  </si>
  <si>
    <t>1:2</t>
  </si>
  <si>
    <t>Keine</t>
  </si>
  <si>
    <t>Verdünnung:</t>
  </si>
  <si>
    <t>Ergebnis:</t>
  </si>
  <si>
    <t>Nverfmin</t>
  </si>
  <si>
    <t>Matrix</t>
  </si>
  <si>
    <t xml:space="preserve">Nach Mist test: </t>
  </si>
  <si>
    <t>Mist kann nicht verdünnt werden!</t>
  </si>
  <si>
    <t xml:space="preserve">Berechnung Verluste </t>
  </si>
  <si>
    <t>NH3 Verluste (Agrammon)</t>
  </si>
  <si>
    <t>NH3 Agrammon</t>
  </si>
  <si>
    <t>Die Berechnung des Nährstoffwertes von Stickstoff ausgebrachter Hofdünger auf der Basis der Suisse-Bilanz und GRUD 17 geht noch von einer Düngung mit Breitverteiler aus.</t>
  </si>
  <si>
    <t>Berechnung des monetären Wertes der verfügbaren Nährstoffe von ausgebrachtem Hofdünger anhand aktuellen Handelsdüngerpreisen</t>
  </si>
  <si>
    <t>Calcul de la valeur monétaire des éléments fertilisants disponibles des engrais de ferme épandus sur la base des prix actuels des engrais commerciaux.</t>
  </si>
  <si>
    <t>**Densité considérée pour le lisier : 1 t / m3.</t>
  </si>
  <si>
    <t>Aucune</t>
  </si>
  <si>
    <t>Dilution</t>
  </si>
  <si>
    <t>Le fumier ne peut pas être dilué !</t>
  </si>
  <si>
    <t>L'utilisation de méthodes d'épandage réduisant les émissions diminue les pertes d'ammoniac, ce qui permet d'épandre davantage d'ammonium disponible pour les plantes.</t>
  </si>
  <si>
    <t>La valeur des éléments nutritifs épandus augmente donc également.</t>
  </si>
  <si>
    <t>Ces méthodes ne sont adaptées qu'aux engrais de ferme liquides ! Le fumier doit être bien réparti et si possible incorporé afin d'éviter les émissions et d'augmenter la valeur.</t>
  </si>
  <si>
    <t>Nessuna</t>
  </si>
  <si>
    <t>Diluizione</t>
  </si>
  <si>
    <t>Il letame non può essere diluito!</t>
  </si>
  <si>
    <t>Questo aumenta anche il valore dei nutrienti applicati.</t>
  </si>
  <si>
    <t>Nom / Prénom</t>
  </si>
  <si>
    <t>Rue / Exploitation</t>
  </si>
  <si>
    <t>NPA / Localité</t>
  </si>
  <si>
    <t>Téléphone</t>
  </si>
  <si>
    <t>Telefono</t>
  </si>
  <si>
    <t>Notes</t>
  </si>
  <si>
    <t>Distributeur large</t>
  </si>
  <si>
    <t>Tuyau de remorquage</t>
  </si>
  <si>
    <t>Patin de traîne</t>
  </si>
  <si>
    <t>NH3 Verluste (ALFAM2)</t>
  </si>
  <si>
    <t>CHF</t>
  </si>
  <si>
    <t>Veuillez saisir uniquement des chiffres!</t>
  </si>
  <si>
    <t>Inserire solo numeri!</t>
  </si>
  <si>
    <t>Kompost Ja, Nein in der richtigen sprache</t>
  </si>
  <si>
    <t>&lt;-Titel Grafik!</t>
  </si>
  <si>
    <t>Letztes Datum:</t>
  </si>
  <si>
    <t>Nicht gebraucht!</t>
  </si>
  <si>
    <t>Hofdünger</t>
  </si>
  <si>
    <t xml:space="preserve"> </t>
  </si>
  <si>
    <t>Laufzahl (Vgl. Tabelle6</t>
  </si>
  <si>
    <t>humusquotient Bezeichnung</t>
  </si>
  <si>
    <t>NH3 ALFAM2</t>
  </si>
  <si>
    <t>TUTORIAL:</t>
  </si>
  <si>
    <t>Auwahlmatrix variabel</t>
  </si>
  <si>
    <t>Auwahl auf rechner -&gt;</t>
  </si>
  <si>
    <t>Möglichkeiten-&gt;</t>
  </si>
  <si>
    <t>Anzahl Möglichkeiten-&gt;</t>
  </si>
  <si>
    <t xml:space="preserve">Formel in Rechner E26 -&gt; </t>
  </si>
  <si>
    <t xml:space="preserve">Alternativ: </t>
  </si>
  <si>
    <t>Zahl gibt Anzahl Hofdünger bei Tierart an</t>
  </si>
  <si>
    <t>Harnstoff grob geknt, 46%</t>
  </si>
  <si>
    <t>Kalisulfat 50% geknt (50% K, 18% S)</t>
  </si>
  <si>
    <t>Um den jeweils geupdatenen Rechner zu erstellen</t>
  </si>
  <si>
    <t>1. Das Neue File "EPI_Düngerpreise.csv" in den Ornder Rechner_Dev kopieren. Das alte überschreiben!</t>
  </si>
  <si>
    <t xml:space="preserve">2. Die Excell Datei "EPI_Düngerpreise_import" öffnen. </t>
  </si>
  <si>
    <t xml:space="preserve">3. Im Menü "Daten" auf "Alle aktualisieren" klicken. Kontrollieren das "EPI_Düngerpreise.csv" Ausgewählt ist. "Importieren" klicken. </t>
  </si>
  <si>
    <t>4. Alles auswählen und kopieren, Datei speichern, schliessen.</t>
  </si>
  <si>
    <t>9. Blatt "Rechner" schützen. Alle andern Blätter "Ausblenden", Arbeitsmappe schützen. Passwort aus der Liste verweenden oder Neues dort eintragen.</t>
  </si>
  <si>
    <t>7. speichern</t>
  </si>
  <si>
    <t>6. Auf das Blatt "Rechner Calculateur" oder bei der "Formeln_GRUD Zelle D76" kontrollieren ob der neuste Düngerpreis ausgewählt wurde und die Nummern stimmen!</t>
  </si>
  <si>
    <t>5. In die Datei "xxxxxx_Hofdünger_dev.xlsx" wechseln. Blatt Düngerpreise auswählen. Zelle A1 anwählen. "Werte" Einfügen</t>
  </si>
  <si>
    <t>8. Neeu abspeichern als "AGRIDEA_HofduengerRechner_2023". Alte datei ersetzen.</t>
  </si>
  <si>
    <t>11. Nochmals speichern. Schliessen, Prüfen ob schutz funktioniert. Neu hochladen.</t>
  </si>
  <si>
    <t>10. Alle Grünen Zellen auf "Keine Auswahl"; "Keine" und "Deutsch" setzten.</t>
  </si>
  <si>
    <t>Alternative Vorgehensweise:</t>
  </si>
  <si>
    <t>1. EPI_Düngerpreise.csv öffnen</t>
  </si>
  <si>
    <t>2. Ganze Spalte A auswählen, oder ctrl-A. Im Menu "Daten" "Text in Spalten" auswählen.</t>
  </si>
  <si>
    <t xml:space="preserve">3. Bei Schritt 1 "getrennt" auswählen, Bei schritt 2 "Komma" auswählen, Fertig stellen. </t>
  </si>
  <si>
    <t xml:space="preserve">4. Oben bei Punkt 4 weiterfahren. </t>
  </si>
  <si>
    <t>Siehe Blatt "Düngerpreise" oder weiter unten!</t>
  </si>
  <si>
    <t>Annahmen Berechnungen:</t>
  </si>
  <si>
    <t xml:space="preserve">Update des Hofdüngerwertrechners mit den aktuellen Handelsdüngerpreisen von Agristat. </t>
  </si>
  <si>
    <t>Tabelle 1: Richtwerte für die Humusreproduktionsleistung organischer Materialien in Humusäquivalenten (Häq) je t Frischmasse</t>
  </si>
  <si>
    <t xml:space="preserve">organische Materialien </t>
  </si>
  <si>
    <t xml:space="preserve">TM-% </t>
  </si>
  <si>
    <r>
      <t>Häq (t FM)</t>
    </r>
    <r>
      <rPr>
        <b/>
        <vertAlign val="superscript"/>
        <sz val="10"/>
        <color rgb="FF0D0D0D"/>
        <rFont val="Times New Roman"/>
        <family val="1"/>
      </rPr>
      <t>-1</t>
    </r>
    <r>
      <rPr>
        <b/>
        <sz val="10"/>
        <color rgb="FF0D0D0D"/>
        <rFont val="Times New Roman"/>
        <family val="1"/>
      </rPr>
      <t xml:space="preserve"> </t>
    </r>
  </si>
  <si>
    <t xml:space="preserve">Pflanzenmaterialien </t>
  </si>
  <si>
    <t xml:space="preserve">Stroh </t>
  </si>
  <si>
    <t xml:space="preserve">Gründüngung, Rübenblatt, Marktabfälle, Grünschnitt </t>
  </si>
  <si>
    <t xml:space="preserve">Stallmist </t>
  </si>
  <si>
    <t xml:space="preserve">frisch </t>
  </si>
  <si>
    <t xml:space="preserve">verrottet (auch Feststoff aus Gülleseparierung) </t>
  </si>
  <si>
    <t xml:space="preserve">kompostiert </t>
  </si>
  <si>
    <t xml:space="preserve">Gülle </t>
  </si>
  <si>
    <t xml:space="preserve">Schwein </t>
  </si>
  <si>
    <t xml:space="preserve">Rind </t>
  </si>
  <si>
    <t xml:space="preserve">Geflügel (Kot) </t>
  </si>
  <si>
    <t xml:space="preserve">Bioabfall </t>
  </si>
  <si>
    <r>
      <t>nicht verrottet*</t>
    </r>
    <r>
      <rPr>
        <vertAlign val="superscript"/>
        <sz val="10"/>
        <color rgb="FF0D0D0D"/>
        <rFont val="Times New Roman"/>
        <family val="1"/>
      </rPr>
      <t>)</t>
    </r>
    <r>
      <rPr>
        <sz val="10"/>
        <color rgb="FF0D0D0D"/>
        <rFont val="Times New Roman"/>
        <family val="1"/>
      </rPr>
      <t xml:space="preserve"> </t>
    </r>
  </si>
  <si>
    <r>
      <t>Frischkompost*</t>
    </r>
    <r>
      <rPr>
        <vertAlign val="superscript"/>
        <sz val="10"/>
        <color rgb="FF0D0D0D"/>
        <rFont val="Times New Roman"/>
        <family val="1"/>
      </rPr>
      <t>)</t>
    </r>
    <r>
      <rPr>
        <sz val="10"/>
        <color rgb="FF0D0D0D"/>
        <rFont val="Times New Roman"/>
        <family val="1"/>
      </rPr>
      <t xml:space="preserve"> </t>
    </r>
  </si>
  <si>
    <r>
      <t>Fertigkompost*</t>
    </r>
    <r>
      <rPr>
        <vertAlign val="superscript"/>
        <sz val="10"/>
        <color rgb="FF0D0D0D"/>
        <rFont val="Times New Roman"/>
        <family val="1"/>
      </rPr>
      <t>)</t>
    </r>
    <r>
      <rPr>
        <sz val="10"/>
        <color rgb="FF0D0D0D"/>
        <rFont val="Times New Roman"/>
        <family val="1"/>
      </rPr>
      <t xml:space="preserve"> </t>
    </r>
  </si>
  <si>
    <t xml:space="preserve">Klärschlamm </t>
  </si>
  <si>
    <t xml:space="preserve">ausgefault, ohne Zusätze </t>
  </si>
  <si>
    <t xml:space="preserve">kalkstabilisiert </t>
  </si>
  <si>
    <t xml:space="preserve">Sonstiges </t>
  </si>
  <si>
    <t xml:space="preserve">Rindenkompost </t>
  </si>
  <si>
    <t xml:space="preserve">See- und Teichschlamm </t>
  </si>
  <si>
    <t xml:space="preserve">Gärprodukte aus Biogasanlagen (vorläufige Expertenschätzungen) </t>
  </si>
  <si>
    <t xml:space="preserve">flüssig </t>
  </si>
  <si>
    <t xml:space="preserve">fest </t>
  </si>
  <si>
    <r>
      <t>*)</t>
    </r>
    <r>
      <rPr>
        <sz val="10"/>
        <color rgb="FF0D0D0D"/>
        <rFont val="Times New Roman"/>
        <family val="1"/>
      </rPr>
      <t xml:space="preserve"> – mit abbaustabilem Strukturmaterialanteil </t>
    </r>
  </si>
  <si>
    <t>Häq</t>
  </si>
  <si>
    <t>Humusreproduktion</t>
  </si>
  <si>
    <t>Rindergülle</t>
  </si>
  <si>
    <t>Geflügelkot</t>
  </si>
  <si>
    <t>c</t>
  </si>
  <si>
    <t>b</t>
  </si>
  <si>
    <t>a</t>
  </si>
  <si>
    <t>Laufzahl intern( Vgl. Tabelle 6)</t>
  </si>
  <si>
    <t>Gülle =0</t>
  </si>
  <si>
    <t>Humus äq</t>
  </si>
  <si>
    <t>Gärmistkompost</t>
  </si>
  <si>
    <t>Mistkompost</t>
  </si>
  <si>
    <t>Stallmist_alt</t>
  </si>
  <si>
    <t xml:space="preserve"> a achsenabschnitt</t>
  </si>
  <si>
    <t>Formel b</t>
  </si>
  <si>
    <t>Formel c</t>
  </si>
  <si>
    <t>Bezeichnung für Umrechnung</t>
  </si>
  <si>
    <t>preis  pro kg Häq</t>
  </si>
  <si>
    <t>1.1</t>
  </si>
  <si>
    <t>Berechnung Humusäauivalente anhand Auswahl</t>
  </si>
  <si>
    <t>TS:</t>
  </si>
  <si>
    <t>1:</t>
  </si>
  <si>
    <t>Nährstoffbilanz</t>
  </si>
  <si>
    <t>Bilan des éléments nutritifs</t>
  </si>
  <si>
    <t>Bilancio dei nutrienti</t>
  </si>
  <si>
    <t>Letame da cortile</t>
  </si>
  <si>
    <t>Selezione e valori medi secondo le PRIC 2017, capitolo 4: "Caratteristiche e utilizzo dei concimi", i valori per il digestato liquido e solido (biogas) provengono dalla cooperativa Ökostrom Schweiz.</t>
  </si>
  <si>
    <r>
      <t>Le bilan de fumure est équilibré en N</t>
    </r>
    <r>
      <rPr>
        <i/>
        <sz val="10"/>
        <color rgb="FF7030A0"/>
        <rFont val="Arial"/>
        <family val="2"/>
      </rPr>
      <t>disp</t>
    </r>
    <r>
      <rPr>
        <sz val="10"/>
        <color rgb="FF7030A0"/>
        <rFont val="Arial"/>
        <family val="2"/>
      </rPr>
      <t>, P2O5 et K2O. Pour les autres éléments nutritifs, il indique la différence entre les engrais du commerce et les engrais de ferme.</t>
    </r>
  </si>
  <si>
    <t>Fig. 1 : Augmentation de la valeur lors de l'épandage au moyen d'un tuyau d'épandage, d'un sabot d'épandage et d'un enfouisseur de lisier selon le le modèle Agrammon.</t>
  </si>
  <si>
    <t>Enfouisseur de lisier</t>
  </si>
  <si>
    <t>testts ( Formeleinzelteile)</t>
  </si>
  <si>
    <t>Humus éq.</t>
  </si>
  <si>
    <t>2. si des valeurs d'analyse propres doivent être utilisées : "Analyse propre" : "Oui", si "Non", le calcul se fait avec des valeurs moyennes.</t>
  </si>
  <si>
    <t>1. Selezionare il tipo di allevamento/impianto di biogas e il tipo di concime aziendale. Per il liquame, specificare la diluizione.</t>
  </si>
  <si>
    <r>
      <t>Il bilancio dei nutrienti è equilibrato in N</t>
    </r>
    <r>
      <rPr>
        <vertAlign val="subscript"/>
        <sz val="10"/>
        <rFont val="Arial"/>
        <family val="2"/>
      </rPr>
      <t>disp</t>
    </r>
    <r>
      <rPr>
        <sz val="10"/>
        <rFont val="Arial"/>
        <family val="2"/>
      </rPr>
      <t>, P</t>
    </r>
    <r>
      <rPr>
        <vertAlign val="subscript"/>
        <sz val="10"/>
        <rFont val="Arial"/>
        <family val="2"/>
      </rPr>
      <t>2</t>
    </r>
    <r>
      <rPr>
        <sz val="10"/>
        <rFont val="Arial"/>
        <family val="2"/>
      </rPr>
      <t>O</t>
    </r>
    <r>
      <rPr>
        <vertAlign val="subscript"/>
        <sz val="10"/>
        <rFont val="Arial"/>
        <family val="2"/>
      </rPr>
      <t xml:space="preserve">5 e </t>
    </r>
    <r>
      <rPr>
        <sz val="10"/>
        <rFont val="Arial"/>
        <family val="2"/>
      </rPr>
      <t>K</t>
    </r>
    <r>
      <rPr>
        <vertAlign val="subscript"/>
        <sz val="10"/>
        <rFont val="Arial"/>
        <family val="2"/>
      </rPr>
      <t>2</t>
    </r>
    <r>
      <rPr>
        <sz val="10"/>
        <rFont val="Arial"/>
        <family val="2"/>
      </rPr>
      <t>O. Per gli altri nutrienti, mostra la differenza tra i fertilizzanti commerciali e il letame da cortile.</t>
    </r>
  </si>
  <si>
    <r>
      <t>**Densità del liquame assunta: 1 t/m</t>
    </r>
    <r>
      <rPr>
        <vertAlign val="superscript"/>
        <sz val="10"/>
        <rFont val="Arial"/>
        <family val="2"/>
      </rPr>
      <t>3</t>
    </r>
  </si>
  <si>
    <t>kg/t</t>
  </si>
  <si>
    <r>
      <t>N</t>
    </r>
    <r>
      <rPr>
        <vertAlign val="subscript"/>
        <sz val="10"/>
        <rFont val="Arial"/>
        <family val="2"/>
      </rPr>
      <t>tot</t>
    </r>
  </si>
  <si>
    <t>Con l'impiego di procedimenti di spandimento a basse emissioni, si riducono le perdite di ammoniaca e di conseguenza si applica più ammonio disponibile per le piante.</t>
  </si>
  <si>
    <t>Tubo flessibile a strascico</t>
  </si>
  <si>
    <t xml:space="preserve">Assolcatore </t>
  </si>
  <si>
    <t>Macchinario per l'incorporazione del liquame nel suolo</t>
  </si>
  <si>
    <t>Il calcolo del valore nutritivo dell'azoto apportato tramite letame de acortile sulla base di Suisse-Bilanz e delle PRIC '17 presuppone ancora la concimazione con deflettore a piattello.</t>
  </si>
  <si>
    <t>Deflettore a piattello tradizionale</t>
  </si>
  <si>
    <t>Cognome/nome</t>
  </si>
  <si>
    <t>Strada/azienda</t>
  </si>
  <si>
    <t>NPA/luogo</t>
  </si>
  <si>
    <t>Calcolo del valore monetario dei nutrienti disponibili del letame da cortile sulla base degli attuali prezzi dei fertilizzanti commerciali.</t>
  </si>
  <si>
    <t>Der Hofdüngerwertrechner bezieht sich in grossen Teilen auf die GRUD 17. Somit ist ein klarer Bezug zur Praxis gegeben und es können Hofdüngerwerte aus HODUFLU und Suisse-Bilanz eingegeben werden.</t>
  </si>
  <si>
    <t>Benutzte Grössen: Hofdünger</t>
  </si>
  <si>
    <t>Humus äq.</t>
  </si>
  <si>
    <t>Nver</t>
  </si>
  <si>
    <t>PSO5</t>
  </si>
  <si>
    <t>K2O</t>
  </si>
  <si>
    <t>Benutze Handelsdünger:</t>
  </si>
  <si>
    <t>P2O5</t>
  </si>
  <si>
    <t>Der Wert der Nährstoffracht ausgebrachter Hofdünger wird nach den Makronährstoffen NPK mittels den jeweiligen Bezugsgrössen anhand den Handelsdüngerpreisen errechnet.</t>
  </si>
  <si>
    <t xml:space="preserve">Zusätzlich zu NPK kann auch der Wert der C-Eintrages in den Boden berechnet werden, hier dienen die Humusäquiwalente als Bezugsgrösse. </t>
  </si>
  <si>
    <t xml:space="preserve">Der Rechner beantwortet die theoretische Frage: "Was würde es im Einkauf kosten wenn ich statt dem Hofdünger Handelsdünger einsetzten würde?"  </t>
  </si>
  <si>
    <t>Da Kompost ein Organischer Dünger ist der auch ein Anteil, NPKMgCa mit sich führt, muss dies in der Rechnung berücksichtigt werden. Die entsprechenden Bezugsgrössen werden um den Anteil im Kompost verringert.</t>
  </si>
  <si>
    <t>Trockensubstanz des Hofdüngers. Restmasse des Hofdüngers bei totalem Wasserentzug nach Trocknung bei 80°C</t>
  </si>
  <si>
    <t xml:space="preserve">Humusäquivalente sind die Kennwerte der Humusreproduktionsleistung eines organischen Materials nach VDLUFA-Standpunkt 2014. Sie werden benutz um das C-Eintragspotenzial der Hofdünger mit dessen von Kompost zu vergleichen. Sie dienen nicht der Berechnung der Humusbildung, diese ist von vielen weiteren Faktoren abhängig. </t>
  </si>
  <si>
    <t>Gesamter analysierbare Stickstoff bei Ausbringungszeitpunkt</t>
  </si>
  <si>
    <t>Der innerhalb von 3 Jahren Pflanzenverfügbare Stickstoff des Ausgebrachten Düngers.</t>
  </si>
  <si>
    <t>Phosphate, Schnell verfügbarer Phosphor</t>
  </si>
  <si>
    <t>Kaliumoxide, schnell verfügbares Kali</t>
  </si>
  <si>
    <t>Gesammtmagnesium</t>
  </si>
  <si>
    <t>Gesammtkalzium</t>
  </si>
  <si>
    <t>Weicherdiges Rohphosphat mit Magnesium und Kalk. Dank der Weichgranulierung rasche Verfügbarkeit der Nährstoffe.</t>
  </si>
  <si>
    <t>Landor:</t>
  </si>
  <si>
    <t>Stickstoffdünger mit schnell und anhaltend wirkendem Stickstoff für alle Kulturen. Magnesium zur Erhaltung der Mg-Versorgung. Die gleichmässige Granulierung garantiert ein exaktes Streubild.</t>
  </si>
  <si>
    <t>Granulierter Kalidünger. Kann mit den granulierten LANDOR Phosphordüngern gemischt werden.</t>
  </si>
  <si>
    <t xml:space="preserve">Nach Email von </t>
  </si>
  <si>
    <t>Gährmist umgerechnet</t>
  </si>
  <si>
    <t>Es könnte passieren, dass die Nährstofffracht des Komposts nach GRUD17 die eines eigegebenen Hofdüngers (ZB, festes Gärgut, oder ähnliches) übersteigt, in diesem Fall wird die Differenz auf 0 gesetzt. Negative Werte hätten einen negativen CHF Wert zur Folge!</t>
  </si>
  <si>
    <t>Les coûts de stockage, de transport et d'épandage ne sont pas pris en compte. La situation régionale et les facteurs spécifiques au marché tels que l'offre et la demande ne peuvent pas être pris en compte.</t>
  </si>
  <si>
    <t>Die Kosten der Lagerung, Überführung und Ausbringung sind nicht miteinbezogen. Auf die regionale Situation sowie marktspezifischen Faktoren wie Angebot und Nachfrage kann nicht eingegangen werden.</t>
  </si>
  <si>
    <t xml:space="preserve">On calcule la valeur monétaire des éléments fertilisants disponibles sur trois ans pour les engrais de ferme épandus, en se basant sur les prix actuels des engrais commerciaux. </t>
  </si>
  <si>
    <r>
      <t>Per i liquami si utilizza una densità di 1 t/m3. I valori dei nutrienti in kg/m</t>
    </r>
    <r>
      <rPr>
        <vertAlign val="superscript"/>
        <sz val="10"/>
        <rFont val="Arial"/>
        <family val="2"/>
      </rPr>
      <t>3</t>
    </r>
    <r>
      <rPr>
        <sz val="10"/>
        <rFont val="Arial"/>
        <family val="2"/>
      </rPr>
      <t xml:space="preserve"> corrispondono a kg/t. Per il letame, i valori devono essere indicati in kg/t.</t>
    </r>
  </si>
  <si>
    <t>Damit erhöht sich auch der Wert der ausgebrachten Gülle.</t>
  </si>
  <si>
    <t>Annexe : prise en compte des méthodes d'épandage réduisant les émissions de lisier</t>
  </si>
  <si>
    <t>Questi metodi sono adatti solo per il liquame! Il letame deve essere ben distribuito e, se possibile, incorporato per prevenire le emissioni e aumentarne il valore.</t>
  </si>
  <si>
    <t>Pour les lisiers, on calcule une densité de 1 t/m3, les valeurs des éléments nutritifs en kg/m3 correspondent à des kg/t. Pour le fumier, les valeurs doivent être saisies en kg/t.</t>
  </si>
  <si>
    <t xml:space="preserve">Es wird der monetäre Wert der innerhalb von drei Jahren verfügbaren Nährstoffen ausgebrachter Hofdünger anhand aktuellen Handelsdüngerpreisen errechnet. </t>
  </si>
  <si>
    <t>Abb. 1: Werterhöhung bei Ausbringung mittels Schleppschlauch, Schleppschuh und Gülledrill nach dem Agrammon-Modell.</t>
  </si>
  <si>
    <t>Appendice: Inclusione dei procedimenti di spandimento a basse emissioni per il liquame</t>
  </si>
  <si>
    <t>Fig. 1: Aumento del valore quando si spande con tubi flessibili a strascico, tubi semirigidi con assolcatore o quando si procede con l'incorporazione del liquame secondo il modello Agrammon.</t>
  </si>
  <si>
    <t>Il valore monetario dei nutrienti disponibili nel letame da cortile utilizzato nei prossimi tre anni è calcolato sulla base del prezzo attuale dei concimi.</t>
  </si>
  <si>
    <t>I costi di stoccaggio, trasferimento e spandimento non sono inclusi. La situazione regionale e i fattori specifici del mercato, come la domanda e l'offerta, non possono essere presi in considerazione.</t>
  </si>
  <si>
    <t>Hofdüngerwert-Rechner</t>
  </si>
  <si>
    <t>Agronet Nr.</t>
  </si>
  <si>
    <t>Produkt</t>
  </si>
  <si>
    <t>Gebinde</t>
  </si>
  <si>
    <t>Nährstoffgehalt</t>
  </si>
  <si>
    <t>CHF je 100 kg</t>
  </si>
  <si>
    <t>Sack</t>
  </si>
  <si>
    <t>BigBag</t>
  </si>
  <si>
    <t>Stickstoff</t>
  </si>
  <si>
    <t>Ammonsalpeter 27 + Mg</t>
  </si>
  <si>
    <t>Ammonsalpeter 27 ohne Mg</t>
  </si>
  <si>
    <t>MgS-Ammonsalpeter</t>
  </si>
  <si>
    <t>0.3B</t>
  </si>
  <si>
    <t xml:space="preserve">Kalk-Ammon + Mg </t>
  </si>
  <si>
    <t>Sulfamid</t>
  </si>
  <si>
    <t>d</t>
  </si>
  <si>
    <t>Perlka Kalkstickstoff</t>
  </si>
  <si>
    <t>e</t>
  </si>
  <si>
    <t>k</t>
  </si>
  <si>
    <t>f</t>
  </si>
  <si>
    <t>ENTEC 26</t>
  </si>
  <si>
    <t>Stickstoff flüssig</t>
  </si>
  <si>
    <t>X</t>
  </si>
  <si>
    <t>auf Anf.</t>
  </si>
  <si>
    <t>Phosphor</t>
  </si>
  <si>
    <t>P26</t>
  </si>
  <si>
    <t>TSP</t>
  </si>
  <si>
    <t>Kalium</t>
  </si>
  <si>
    <t>Korn-Kali 40</t>
  </si>
  <si>
    <t>3Na</t>
  </si>
  <si>
    <t>Kali 60</t>
  </si>
  <si>
    <t>96.4KCI</t>
  </si>
  <si>
    <t>l</t>
  </si>
  <si>
    <t>Magnesium, Schwefel</t>
  </si>
  <si>
    <t xml:space="preserve">0.9B </t>
  </si>
  <si>
    <t>1Mn</t>
  </si>
  <si>
    <t>4 Mn, 1 Zn</t>
  </si>
  <si>
    <t>Granumag</t>
  </si>
  <si>
    <t>i</t>
  </si>
  <si>
    <t>g</t>
  </si>
  <si>
    <t>Bor</t>
  </si>
  <si>
    <t>14.6B</t>
  </si>
  <si>
    <t>Düngerpreise LANDOR</t>
  </si>
  <si>
    <t>Granuphos</t>
  </si>
  <si>
    <t>Datum</t>
  </si>
  <si>
    <t>Umrechnung</t>
  </si>
  <si>
    <t>% Nährstoff</t>
  </si>
  <si>
    <t>CHF pro 100 kg Nährstoff</t>
  </si>
  <si>
    <t>Düngerpreise Agristat:</t>
  </si>
  <si>
    <t>Übernommene Düngerpreise</t>
  </si>
  <si>
    <t xml:space="preserve">Liste: </t>
  </si>
  <si>
    <t>Agristat</t>
  </si>
  <si>
    <t>Landor</t>
  </si>
  <si>
    <t>Preistabellle:</t>
  </si>
  <si>
    <t>Wert der ausgebrachten Nährstoffe</t>
  </si>
  <si>
    <t>exkl. Lagerung, Transport und Ausbringung.</t>
  </si>
  <si>
    <t>Valore dei nutrienti applicati</t>
  </si>
  <si>
    <t>escluse le operazioni di stoccaggio, trasporto e applicazione.</t>
  </si>
  <si>
    <t>Tabella dei prezzi:</t>
  </si>
  <si>
    <t>Valeur des éléments nutritifs épandus</t>
  </si>
  <si>
    <t>hors stockage, transport et épandage.</t>
  </si>
  <si>
    <t>Tableau des prix :</t>
  </si>
  <si>
    <t>Augmentation de la valeur en cas d'utilisation de méthodes d'épandage à faibles émissions</t>
  </si>
  <si>
    <t>Aumento del valore quando si utilizzano procedimenti di spandimento a basse emissioni</t>
  </si>
  <si>
    <t>102.00 3</t>
  </si>
  <si>
    <t>146.60 3</t>
  </si>
  <si>
    <t>106.60 3</t>
  </si>
  <si>
    <t>Granubor Natur</t>
  </si>
  <si>
    <t>Schwefel granuliert</t>
  </si>
  <si>
    <t>Dolomit 55/35 Magnesiumkalk</t>
  </si>
  <si>
    <t>Calciumschwefel</t>
  </si>
  <si>
    <t>Kieserit</t>
  </si>
  <si>
    <t>Epso Combitop wasserlöslich</t>
  </si>
  <si>
    <t>Epso Microtop wasserlöslich</t>
  </si>
  <si>
    <t>Epso Top wasserlöslich</t>
  </si>
  <si>
    <t>Solupotasse 50% wasserlöslich</t>
  </si>
  <si>
    <t>Kaliumchlorid 96.4% wasserlöslich</t>
  </si>
  <si>
    <t>Kaliumsulfat 50% Granulat chlorfrei</t>
  </si>
  <si>
    <t xml:space="preserve">Patentkali (Kalimagnesia) chlorfrei </t>
  </si>
  <si>
    <t>Calcophos 4</t>
  </si>
  <si>
    <t>25 2</t>
  </si>
  <si>
    <t>Piasan Spezifisches Gewicht 1.3 kg/Liter</t>
  </si>
  <si>
    <t>30 1</t>
  </si>
  <si>
    <t>N-Sol Spezifisches Gewicht 1.3 kg/Liter</t>
  </si>
  <si>
    <t xml:space="preserve">Kalksalpeter Streuqualität (NitraBor) </t>
  </si>
  <si>
    <t>Kalksalpeter wasserlöslich (Calcinit)</t>
  </si>
  <si>
    <t xml:space="preserve">Kalksalpeter Streuqualität (Tropicote) </t>
  </si>
  <si>
    <t>Harnstoff prilliert</t>
  </si>
  <si>
    <t>Harnstoff granuliert</t>
  </si>
  <si>
    <t>Ammonsulfat wasserlöslich</t>
  </si>
  <si>
    <t xml:space="preserve">Bor-Ammonsalpeter   </t>
  </si>
  <si>
    <t>N</t>
  </si>
  <si>
    <t>Update des Hofdüngerwertrechners mit den aktuellen Handelsdüngerpreisen von LANDOR.</t>
  </si>
  <si>
    <t>https://www.landisurb.ch/landi-agro/agroaktuell/duenger</t>
  </si>
  <si>
    <t>1. Landor Tabelle aus dem Internet herunterladen: Internetadresse unten, auf "LANDOR Preisliste ab …. "  klicken</t>
  </si>
  <si>
    <t>3. Das Blatt LANDOR x.xx nach dem neuen Datum in derselben Form umbenennen</t>
  </si>
  <si>
    <t>2. Das PDF mit Word öffen, die entstandene Tabelle kopieren. Als Text in Blatt "LANDOR x.xx" bei A2 einfügen; die erste Zeile MUSS bleiben!, Spalte Q "Wert" kontrollieren, es müssen die tiefsten Preise (Streckenpreis exkl Mwst.) in der Spalte Q sein; Datumsangabe: in A1: Monat in Zahlform; in B1 Jahr eingeben</t>
  </si>
  <si>
    <t>2. Alternativ: Die jeweils gelben Werte von Hand ersetzten; Datumsangabe: in A1: Monat in Zahlform; in B1 Jahr eingeben</t>
  </si>
  <si>
    <t>Auf dem Blatt "Formeln_GRUD" kann zwichen den LANDOR oder Agristat preisen ausgewählt werden.</t>
  </si>
  <si>
    <t>Nach dem ubdate Rechner schützen:</t>
  </si>
  <si>
    <t>1. Neu abspeichern als "AGRIDEA_HofduengerRechner_2023". Alte datei ersetzen.</t>
  </si>
  <si>
    <t>2. Blatt "Rechner" schützen. Alle andern Blätter "Ausblenden", Arbeitsmappe schützen. Passwort aus der Liste verweenden oder Neues dort eintragen.</t>
  </si>
  <si>
    <t>4. Alle Grünen Zellen auf "Keine Auswahl"; "Keine" und "Deutsch" setzten.</t>
  </si>
  <si>
    <t>7. Die 3 Dateien in Wordpress neu hochladen. Die alten Dateien ersetzten.</t>
  </si>
  <si>
    <t>6. Französich und Italienische Datei folgt aus der deutschen, entsprechende Grüne Zellen in die jeweiligs korrekte spache bringen. Die entsprechenden Dateinen mit den neuen ersetzten.</t>
  </si>
  <si>
    <t xml:space="preserve">5. Nochmals speichern. Schliessen, Prüfen ob schutz funktioniert. </t>
  </si>
  <si>
    <t>3. Beim Menu "Ansicht": "Lineal", "Gitternetzlinien" und "Bearbeitungsleiste" abwählen.</t>
  </si>
  <si>
    <t>eq. isoumici</t>
  </si>
  <si>
    <t>Nutztierart / Biogasanlage</t>
  </si>
  <si>
    <t>Type d'animaux / type d'installation de biogaz</t>
  </si>
  <si>
    <t>Animale da allevamento/impianto biogas</t>
  </si>
  <si>
    <t>1. Choisir le type d'animaux, le type d'installation de biogaz et le gengre d'engrais de ferme. Pour les lisiers, indiquer la dilution.</t>
  </si>
  <si>
    <t>3. Si "Analyse personnelle" est sélectionné : veuillez saisir les valeurs dans la zone jaune.</t>
  </si>
  <si>
    <t>3. Optional: Eintrag organische Substanz (C-Eintrag) kompensieren "Ja" oder "Nein". Handelsüblicher Frischkompost dient als Ersatzquelle für organisches Material.</t>
  </si>
  <si>
    <t>3. Option: compenser l'apport de la matière organique (l'apport C) "Oui" ou "Non". Le compost frais disponible dans le commerce sert de source de substitution pour la matière organique.</t>
  </si>
  <si>
    <t>3. Opzionale: compensare l'apporto di sostanza organica (apporto di C) "sì" o "no". Il compost fresco disponibile in commercio serve come fonte sostitutiva per la sostanza organica.</t>
  </si>
  <si>
    <t>1. Bitte Nutztierart / Biogasanlage und Hofdüngerart auswählen. Bei Gülle die Verdünnung angeben.</t>
  </si>
  <si>
    <t>2. Falls eigene Analysenwerte verwendet werden sollen: "Eigene Analyse": "Ja", bei "Nein" wird mit Mittelwerten gerechnet.</t>
  </si>
  <si>
    <t xml:space="preserve">Die Makronährstoffgehalte des Komposts werden miteinberechnet. Damit sind der humusfördernde Effekt sowie die Mikronährstoffe des Hofdüngers grundsätzlich abgedeckt. </t>
  </si>
  <si>
    <t>Die Stoffbilanz zeigt die Gehaltsdifferenzen zwischen dem gewählten Hofdünger und dem gerechneten Ersatz.</t>
  </si>
  <si>
    <t>Auswahl und Mittelwerte nach GRUD 17 Teil 4: "Eigenschaften und Anwendung von Düngern", die Werte zu Biogasgülle und -mist stammen von der Genossenschaft Ökostrom Schweiz.</t>
  </si>
  <si>
    <t>Bei Gülle wird mit einer Dichte von 1 t/m3 gerechnet, die Nährstoffwerte in kg/m3 entsprechen kg/t. Bei Mist müssen die Werte in kg/t eingegeben werden.</t>
  </si>
  <si>
    <t>Die Nährstoffbilanz ist nach Nverf, P2O5, K2O ausbalanciert. Für die anderen Nährstoffe gibt sie die Differenz zwischen Handelsdüngern und dem Hofdünger an.</t>
  </si>
  <si>
    <t>Pferdemist Frisch</t>
  </si>
  <si>
    <t>Mit dem Einsatz von emissionsmindernden Ausbringungsverfahren verringern sich die Ammoniakverluste, entsprechend wird mehr pflanzenverfügbares Ammonium ausgebracht.</t>
  </si>
  <si>
    <t>Werterhöhung beim Einsatz emissionmindernden Ausbringverfahren</t>
  </si>
  <si>
    <t>Diese Verfahren sind nur für flüssige Hofdünger geeignet! Mist sollte gut verteilt und nach Möglichkeit eingearbeitet werden, um Emissionen zu verhinden und den Wert zu erhöhen.</t>
  </si>
  <si>
    <t>Compensare l'apporto di sostanza organica</t>
  </si>
  <si>
    <t>Nverf, P2O5 und K2O sowie je nach Auswahl Organische Substanz werden 1:1 ersetzt.</t>
  </si>
  <si>
    <r>
      <t>N</t>
    </r>
    <r>
      <rPr>
        <vertAlign val="subscript"/>
        <sz val="10"/>
        <rFont val="Arial"/>
        <family val="2"/>
      </rPr>
      <t>disp</t>
    </r>
    <r>
      <rPr>
        <sz val="10"/>
        <rFont val="Arial"/>
        <family val="2"/>
      </rPr>
      <t>, P</t>
    </r>
    <r>
      <rPr>
        <vertAlign val="subscript"/>
        <sz val="10"/>
        <rFont val="Arial"/>
        <family val="2"/>
      </rPr>
      <t>2</t>
    </r>
    <r>
      <rPr>
        <sz val="10"/>
        <rFont val="Arial"/>
        <family val="2"/>
      </rPr>
      <t>O</t>
    </r>
    <r>
      <rPr>
        <vertAlign val="subscript"/>
        <sz val="10"/>
        <rFont val="Arial"/>
        <family val="2"/>
      </rPr>
      <t>5</t>
    </r>
    <r>
      <rPr>
        <sz val="10"/>
        <rFont val="Arial"/>
        <family val="2"/>
      </rPr>
      <t xml:space="preserve"> e K</t>
    </r>
    <r>
      <rPr>
        <vertAlign val="subscript"/>
        <sz val="10"/>
        <rFont val="Arial"/>
        <family val="2"/>
      </rPr>
      <t>2</t>
    </r>
    <r>
      <rPr>
        <sz val="10"/>
        <rFont val="Arial"/>
        <family val="2"/>
      </rPr>
      <t>O e, a seconda della selezione, sostanza organica sono sostituiti 1:1.</t>
    </r>
  </si>
  <si>
    <t xml:space="preserve">Nitrate d'ammoniaque </t>
  </si>
  <si>
    <t>Sélection et valeurs moyennes selon PRIF 17 partie 4 : "Propriétés et utilisation des engrais", les valeurs concernant le lisier et le fumier issu de biogaz proviennent de la coopérative Ökostrom Schweiz.</t>
  </si>
  <si>
    <t>MO</t>
  </si>
  <si>
    <t>saisie ici</t>
  </si>
  <si>
    <t>Le calcul de la valeur nutritive de l'azote des engrais de ferme épandus sur la base du Suisse-Bilanz et du PRIF' 17 se base encore sur une fertilisation avec un épandeur à large spectre.</t>
  </si>
  <si>
    <t xml:space="preserve">Rechnung nach </t>
  </si>
  <si>
    <t>Eintrag organischer Substanz kompensieren</t>
  </si>
  <si>
    <t xml:space="preserve">Compenser l'apport de matière organique </t>
  </si>
  <si>
    <t>Analyse d'engrais de ferme</t>
  </si>
  <si>
    <t>Oekostrom Schweiz</t>
  </si>
  <si>
    <t>Anhang: Einbezug emisssionsmindernden Ausbringungsverfahren bei Gülle</t>
  </si>
  <si>
    <t xml:space="preserve"> und Forschungsanstalten</t>
  </si>
  <si>
    <t>*VDLUFA=Verband Deutscher Landwirtschaftlicher Untersuchungs-</t>
  </si>
  <si>
    <t>Je nach Hofdünger unterscheidet sich der langfristige Eintrag organischer Substanz. Es werden die Humusäquivalente nach VDLUFA*-Standpunkt 2014 verglichen.</t>
  </si>
  <si>
    <t>L'apport de matière organique à long terme diffère selon l'engrais de ferme. On compare les équivalents d'humus selon la position VDLUFA* 2014.</t>
  </si>
  <si>
    <t>L'apporto di sostanza organica a lungo termine varia a seconda del letame da cortile. I equivalenti isoumici vengono confrontati in base allo «VDLUFA*-Standpunkt» del 2014.</t>
  </si>
  <si>
    <t>IWE</t>
  </si>
  <si>
    <t>230421_Rechner17</t>
  </si>
  <si>
    <t>aufgeschalten am</t>
  </si>
  <si>
    <t>bearbeitet durch</t>
  </si>
  <si>
    <t>geändert</t>
  </si>
  <si>
    <t>Version</t>
  </si>
  <si>
    <t>Blatt texte: Schreibfehler korrigiert, v.a. auf D; grüne Texte: C-Eintrag in allen 3 Sprachen mit Eintrag OS ersetzt. Bemerkungen Lachat umgesetzt (Abkürzungen).
Düngerpreise April von Landor eingefügt</t>
  </si>
  <si>
    <t>230724_Rechner18</t>
  </si>
  <si>
    <t>Düngerpreise Juli von Landor eingefügt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</si>
</sst>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64" formatCode="0.0"/>
    <numFmt numFmtId="165" formatCode="General_)"/>
    <numFmt numFmtId="166" formatCode="0\ &quot;m.ü.M&quot;"/>
    <numFmt numFmtId="167" formatCode="&quot;CHF&quot;\ #,##0.00"/>
  </numFmts>
  <fonts count="52" x14ac:knownFonts="1">
    <font>
      <sz val="9"/>
      <name val="Tahoma"/>
      <family val="2"/>
    </font>
    <font>
      <sz val="11"/>
      <color theme="1"/>
      <name val="Calibri"/>
      <family val="2"/>
      <scheme val="minor"/>
    </font>
    <font>
      <sz val="11"/>
      <color theme="1"/>
      <name val="Calibri"/>
      <family val="2"/>
      <scheme val="minor"/>
    </font>
    <font>
      <sz val="11"/>
      <color theme="1"/>
      <name val="Calibri"/>
      <family val="2"/>
      <scheme val="minor"/>
    </font>
    <font>
      <b/>
      <sz val="9"/>
      <name val="Tahoma"/>
      <family val="2"/>
    </font>
    <font>
      <sz val="11"/>
      <color theme="1"/>
      <name val="Tahoma"/>
      <family val="2"/>
    </font>
    <font>
      <sz val="9"/>
      <name val="Tahoma"/>
      <family val="2"/>
    </font>
    <font>
      <sz val="8"/>
      <color rgb="FF000000"/>
      <name val="Arial"/>
      <family val="2"/>
    </font>
    <font>
      <sz val="9"/>
      <color rgb="FFFF0000"/>
      <name val="Tahoma"/>
      <family val="2"/>
    </font>
    <font>
      <sz val="9"/>
      <color indexed="8"/>
      <name val="Tahoma"/>
      <family val="2"/>
    </font>
    <font>
      <sz val="9"/>
      <color rgb="FF00B050"/>
      <name val="Tahoma"/>
      <family val="2"/>
    </font>
    <font>
      <sz val="10"/>
      <name val="Arial"/>
      <family val="2"/>
    </font>
    <font>
      <sz val="10"/>
      <name val="Courier"/>
    </font>
    <font>
      <sz val="8"/>
      <name val="Arial"/>
      <family val="2"/>
    </font>
    <font>
      <b/>
      <sz val="10"/>
      <name val="Arial"/>
      <family val="2"/>
    </font>
    <font>
      <sz val="9"/>
      <name val="Arial"/>
      <family val="2"/>
    </font>
    <font>
      <b/>
      <sz val="9"/>
      <name val="Arial"/>
      <family val="2"/>
    </font>
    <font>
      <b/>
      <u/>
      <sz val="9"/>
      <name val="Arial"/>
      <family val="2"/>
    </font>
    <font>
      <b/>
      <sz val="9"/>
      <color theme="0"/>
      <name val="Tahoma"/>
      <family val="2"/>
    </font>
    <font>
      <sz val="9"/>
      <color rgb="FFFF0000"/>
      <name val="Arial"/>
      <family val="2"/>
    </font>
    <font>
      <vertAlign val="subscript"/>
      <sz val="10"/>
      <name val="Arial"/>
      <family val="2"/>
    </font>
    <font>
      <vertAlign val="superscript"/>
      <sz val="10"/>
      <name val="Arial"/>
      <family val="2"/>
    </font>
    <font>
      <sz val="10"/>
      <color rgb="FFFF0000"/>
      <name val="Arial"/>
      <family val="2"/>
    </font>
    <font>
      <sz val="8"/>
      <color rgb="FF074D7E"/>
      <name val="Arial"/>
      <family val="2"/>
    </font>
    <font>
      <b/>
      <sz val="9"/>
      <color rgb="FF00B050"/>
      <name val="Tahoma"/>
      <family val="2"/>
    </font>
    <font>
      <i/>
      <sz val="10"/>
      <color rgb="FFFF0000"/>
      <name val="Arial"/>
      <family val="2"/>
    </font>
    <font>
      <sz val="10"/>
      <color rgb="FF7030A0"/>
      <name val="Arial"/>
      <family val="2"/>
    </font>
    <font>
      <sz val="9"/>
      <color rgb="FF7030A0"/>
      <name val="Tahoma"/>
      <family val="2"/>
    </font>
    <font>
      <sz val="10"/>
      <color theme="1"/>
      <name val="Arial"/>
      <family val="2"/>
    </font>
    <font>
      <vertAlign val="superscript"/>
      <sz val="10"/>
      <color theme="1"/>
      <name val="Arial"/>
      <family val="2"/>
    </font>
    <font>
      <b/>
      <sz val="10"/>
      <color rgb="FF7030A0"/>
      <name val="Arial"/>
      <family val="2"/>
    </font>
    <font>
      <sz val="9"/>
      <color rgb="FF7030A0"/>
      <name val="Arial"/>
      <family val="2"/>
    </font>
    <font>
      <b/>
      <sz val="14"/>
      <color rgb="FF0D0D0D"/>
      <name val="Times New Roman"/>
      <family val="1"/>
    </font>
    <font>
      <sz val="14"/>
      <color rgb="FF000000"/>
      <name val="Times New Roman"/>
      <family val="1"/>
    </font>
    <font>
      <b/>
      <sz val="10"/>
      <color rgb="FF0D0D0D"/>
      <name val="Times New Roman"/>
      <family val="1"/>
    </font>
    <font>
      <b/>
      <vertAlign val="superscript"/>
      <sz val="10"/>
      <color rgb="FF0D0D0D"/>
      <name val="Times New Roman"/>
      <family val="1"/>
    </font>
    <font>
      <sz val="10"/>
      <color rgb="FF0D0D0D"/>
      <name val="Times New Roman"/>
      <family val="1"/>
    </font>
    <font>
      <sz val="10"/>
      <color rgb="FF000000"/>
      <name val="Times New Roman"/>
      <family val="1"/>
    </font>
    <font>
      <vertAlign val="superscript"/>
      <sz val="10"/>
      <color rgb="FF0D0D0D"/>
      <name val="Times New Roman"/>
      <family val="1"/>
    </font>
    <font>
      <b/>
      <sz val="10"/>
      <color rgb="FF000000"/>
      <name val="Times New Roman"/>
      <family val="1"/>
    </font>
    <font>
      <sz val="2.5"/>
      <color rgb="FF0D0D0D"/>
      <name val="Times New Roman"/>
      <family val="1"/>
    </font>
    <font>
      <i/>
      <sz val="10"/>
      <color rgb="FF7030A0"/>
      <name val="Arial"/>
      <family val="2"/>
    </font>
    <font>
      <sz val="8"/>
      <color rgb="FF191919"/>
      <name val="Verdana"/>
      <family val="2"/>
    </font>
    <font>
      <sz val="7"/>
      <name val="Arial"/>
      <family val="2"/>
    </font>
    <font>
      <u/>
      <sz val="9"/>
      <color theme="10"/>
      <name val="Tahoma"/>
      <family val="2"/>
    </font>
    <font>
      <sz val="9"/>
      <color theme="0" tint="-0.14999847407452621"/>
      <name val="Tahoma"/>
      <family val="2"/>
    </font>
    <font>
      <sz val="9"/>
      <color indexed="81"/>
      <name val="Segoe UI"/>
      <family val="2"/>
    </font>
    <font>
      <b/>
      <sz val="9"/>
      <color indexed="81"/>
      <name val="Segoe UI"/>
      <family val="2"/>
    </font>
    <font>
      <sz val="10"/>
      <color rgb="FF00B050"/>
      <name val="Arial"/>
      <family val="2"/>
    </font>
    <font>
      <sz val="10"/>
      <color theme="7"/>
      <name val="Arial"/>
      <family val="2"/>
    </font>
    <font>
      <b/>
      <sz val="8"/>
      <name val="Arial"/>
      <family val="2"/>
    </font>
    <font>
      <sz val="6"/>
      <name val="Arial"/>
      <family val="2"/>
    </font>
  </fonts>
  <fills count="12">
    <fill>
      <patternFill patternType="none"/>
    </fill>
    <fill>
      <patternFill patternType="gray125"/>
    </fill>
    <fill>
      <patternFill patternType="solid">
        <fgColor theme="5" tint="0.59999389629810485"/>
        <bgColor indexed="64"/>
      </patternFill>
    </fill>
    <fill>
      <patternFill patternType="solid">
        <fgColor indexed="42"/>
        <bgColor indexed="64"/>
      </patternFill>
    </fill>
    <fill>
      <patternFill patternType="solid">
        <fgColor indexed="26"/>
        <bgColor indexed="64"/>
      </patternFill>
    </fill>
    <fill>
      <patternFill patternType="solid">
        <fgColor theme="0"/>
        <bgColor indexed="64"/>
      </patternFill>
    </fill>
    <fill>
      <patternFill patternType="solid">
        <fgColor theme="1"/>
        <bgColor theme="1"/>
      </patternFill>
    </fill>
    <fill>
      <patternFill patternType="solid">
        <fgColor rgb="FFFFFFCC"/>
        <bgColor indexed="64"/>
      </patternFill>
    </fill>
    <fill>
      <patternFill patternType="solid">
        <fgColor rgb="FFCCFFCC"/>
        <bgColor indexed="64"/>
      </patternFill>
    </fill>
    <fill>
      <patternFill patternType="solid">
        <fgColor rgb="FFFFFF00"/>
        <bgColor indexed="64"/>
      </patternFill>
    </fill>
    <fill>
      <patternFill patternType="solid">
        <fgColor rgb="FFC0C0C0"/>
        <bgColor indexed="64"/>
      </patternFill>
    </fill>
    <fill>
      <patternFill patternType="solid">
        <fgColor rgb="FFBFBFBF"/>
        <bgColor indexed="64"/>
      </patternFill>
    </fill>
  </fills>
  <borders count="3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diagonal/>
    </border>
    <border>
      <left/>
      <right/>
      <top/>
      <bottom style="thin">
        <color indexed="64"/>
      </bottom>
      <diagonal/>
    </border>
    <border>
      <left style="thin">
        <color indexed="64"/>
      </left>
      <right style="thin">
        <color indexed="64"/>
      </right>
      <top/>
      <bottom/>
      <diagonal/>
    </border>
    <border>
      <left/>
      <right/>
      <top style="thin">
        <color theme="1"/>
      </top>
      <bottom/>
      <diagonal/>
    </border>
    <border>
      <left/>
      <right/>
      <top style="medium">
        <color indexed="64"/>
      </top>
      <bottom/>
      <diagonal/>
    </border>
    <border>
      <left style="thin">
        <color indexed="64"/>
      </left>
      <right style="thin">
        <color indexed="64"/>
      </right>
      <top style="thin">
        <color indexed="64"/>
      </top>
      <bottom/>
      <diagonal/>
    </border>
    <border>
      <left/>
      <right/>
      <top/>
      <bottom style="hair">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s>
  <cellStyleXfs count="9">
    <xf numFmtId="0" fontId="0" fillId="0" borderId="0"/>
    <xf numFmtId="0" fontId="5" fillId="2" borderId="0" applyNumberFormat="0" applyBorder="0" applyAlignment="0" applyProtection="0"/>
    <xf numFmtId="0" fontId="3" fillId="0" borderId="0"/>
    <xf numFmtId="0" fontId="11" fillId="0" borderId="0"/>
    <xf numFmtId="164" fontId="12" fillId="0" borderId="0"/>
    <xf numFmtId="0" fontId="2" fillId="0" borderId="0"/>
    <xf numFmtId="43" fontId="6" fillId="0" borderId="0" applyFont="0" applyFill="0" applyBorder="0" applyAlignment="0" applyProtection="0"/>
    <xf numFmtId="0" fontId="5" fillId="2" borderId="0" applyNumberFormat="0" applyBorder="0" applyAlignment="0" applyProtection="0"/>
    <xf numFmtId="0" fontId="44" fillId="0" borderId="0" applyNumberFormat="0" applyFill="0" applyBorder="0" applyAlignment="0" applyProtection="0"/>
  </cellStyleXfs>
  <cellXfs count="269">
    <xf numFmtId="0" fontId="0" fillId="0" borderId="0" xfId="0"/>
    <xf numFmtId="0" fontId="4" fillId="0" borderId="0" xfId="0" applyFont="1" applyBorder="1"/>
    <xf numFmtId="0" fontId="0" fillId="0" borderId="0" xfId="0" applyFont="1" applyBorder="1"/>
    <xf numFmtId="0" fontId="0" fillId="0" borderId="0" xfId="0" applyFont="1" applyFill="1" applyBorder="1"/>
    <xf numFmtId="49" fontId="0" fillId="0" borderId="0" xfId="0" applyNumberFormat="1" applyFont="1" applyBorder="1"/>
    <xf numFmtId="0" fontId="7" fillId="0" borderId="0" xfId="0" applyFont="1"/>
    <xf numFmtId="9" fontId="0" fillId="0" borderId="0" xfId="0" applyNumberFormat="1" applyFont="1" applyBorder="1"/>
    <xf numFmtId="0" fontId="6" fillId="0" borderId="0" xfId="0" applyFont="1" applyBorder="1"/>
    <xf numFmtId="0" fontId="6" fillId="0" borderId="0" xfId="0" applyFont="1" applyFill="1" applyBorder="1"/>
    <xf numFmtId="0" fontId="9" fillId="0" borderId="0" xfId="1" applyFont="1" applyFill="1" applyBorder="1"/>
    <xf numFmtId="0" fontId="8" fillId="0" borderId="0" xfId="0" applyFont="1" applyFill="1" applyBorder="1"/>
    <xf numFmtId="0" fontId="8" fillId="0" borderId="0" xfId="0" applyFont="1" applyBorder="1"/>
    <xf numFmtId="0" fontId="10" fillId="0" borderId="0" xfId="0" applyFont="1" applyFill="1" applyBorder="1"/>
    <xf numFmtId="0" fontId="11" fillId="0" borderId="0" xfId="3" applyFont="1" applyFill="1"/>
    <xf numFmtId="0" fontId="15" fillId="5" borderId="0" xfId="3" applyFont="1" applyFill="1" applyProtection="1"/>
    <xf numFmtId="164" fontId="15" fillId="5" borderId="0" xfId="4" applyFont="1" applyFill="1" applyAlignment="1" applyProtection="1">
      <alignment vertical="center"/>
    </xf>
    <xf numFmtId="0" fontId="15" fillId="5" borderId="0" xfId="3" applyNumberFormat="1" applyFont="1" applyFill="1" applyBorder="1" applyAlignment="1" applyProtection="1"/>
    <xf numFmtId="165" fontId="16" fillId="5" borderId="0" xfId="4" applyNumberFormat="1" applyFont="1" applyFill="1" applyBorder="1" applyAlignment="1" applyProtection="1">
      <alignment vertical="center"/>
    </xf>
    <xf numFmtId="164" fontId="15" fillId="5" borderId="0" xfId="4" applyFont="1" applyFill="1" applyBorder="1" applyAlignment="1" applyProtection="1">
      <alignment vertical="center"/>
    </xf>
    <xf numFmtId="1" fontId="16" fillId="5" borderId="0" xfId="4" applyNumberFormat="1" applyFont="1" applyFill="1" applyBorder="1" applyAlignment="1" applyProtection="1">
      <alignment horizontal="right" vertical="center"/>
    </xf>
    <xf numFmtId="1" fontId="15" fillId="5" borderId="0" xfId="4" applyNumberFormat="1" applyFont="1" applyFill="1" applyBorder="1" applyAlignment="1" applyProtection="1">
      <alignment horizontal="right"/>
    </xf>
    <xf numFmtId="165" fontId="16" fillId="5" borderId="15" xfId="4" applyNumberFormat="1" applyFont="1" applyFill="1" applyBorder="1" applyAlignment="1" applyProtection="1">
      <alignment vertical="center"/>
    </xf>
    <xf numFmtId="164" fontId="15" fillId="5" borderId="15" xfId="4" applyFont="1" applyFill="1" applyBorder="1" applyAlignment="1" applyProtection="1">
      <alignment vertical="center"/>
    </xf>
    <xf numFmtId="164" fontId="16" fillId="5" borderId="0" xfId="4" applyFont="1" applyFill="1" applyBorder="1" applyAlignment="1" applyProtection="1">
      <alignment vertical="center"/>
    </xf>
    <xf numFmtId="0" fontId="16" fillId="5" borderId="0" xfId="3" applyFont="1" applyFill="1" applyProtection="1"/>
    <xf numFmtId="164" fontId="15" fillId="5" borderId="0" xfId="4" applyFont="1" applyFill="1" applyAlignment="1" applyProtection="1">
      <alignment horizontal="left" vertical="top"/>
    </xf>
    <xf numFmtId="0" fontId="18" fillId="6" borderId="19" xfId="0" applyFont="1" applyFill="1" applyBorder="1"/>
    <xf numFmtId="0" fontId="15" fillId="5" borderId="0" xfId="3" applyFont="1" applyFill="1" applyBorder="1" applyProtection="1"/>
    <xf numFmtId="0" fontId="0" fillId="0" borderId="20" xfId="0" applyFont="1" applyFill="1" applyBorder="1"/>
    <xf numFmtId="0" fontId="0" fillId="0" borderId="20" xfId="0" applyFont="1" applyBorder="1"/>
    <xf numFmtId="0" fontId="0" fillId="0" borderId="9" xfId="0" applyFont="1" applyBorder="1"/>
    <xf numFmtId="0" fontId="0" fillId="0" borderId="4" xfId="0" applyFont="1" applyBorder="1"/>
    <xf numFmtId="0" fontId="0" fillId="0" borderId="5" xfId="0" applyFont="1" applyBorder="1"/>
    <xf numFmtId="0" fontId="4" fillId="0" borderId="0" xfId="0" applyFont="1" applyFill="1" applyBorder="1"/>
    <xf numFmtId="0" fontId="18" fillId="6" borderId="0" xfId="0" applyFont="1" applyFill="1" applyBorder="1"/>
    <xf numFmtId="0" fontId="0" fillId="0" borderId="0" xfId="0" applyNumberFormat="1" applyFont="1" applyBorder="1"/>
    <xf numFmtId="164" fontId="11" fillId="0" borderId="0" xfId="4" applyFont="1" applyBorder="1" applyAlignment="1" applyProtection="1">
      <alignment horizontal="left" vertical="center" wrapText="1"/>
    </xf>
    <xf numFmtId="14" fontId="0" fillId="0" borderId="0" xfId="0" applyNumberFormat="1" applyFont="1" applyBorder="1"/>
    <xf numFmtId="43" fontId="0" fillId="0" borderId="0" xfId="6" applyFont="1" applyBorder="1"/>
    <xf numFmtId="0" fontId="0" fillId="0" borderId="1" xfId="0" applyNumberFormat="1" applyFont="1" applyBorder="1"/>
    <xf numFmtId="0" fontId="0" fillId="0" borderId="2" xfId="0" applyNumberFormat="1" applyFont="1" applyBorder="1"/>
    <xf numFmtId="0" fontId="0" fillId="0" borderId="2" xfId="0" applyFont="1" applyBorder="1"/>
    <xf numFmtId="0" fontId="0" fillId="0" borderId="3" xfId="0" applyFont="1" applyBorder="1"/>
    <xf numFmtId="0" fontId="0" fillId="0" borderId="16" xfId="0" applyNumberFormat="1" applyFont="1" applyBorder="1"/>
    <xf numFmtId="0" fontId="0" fillId="0" borderId="6" xfId="0" applyFont="1" applyBorder="1"/>
    <xf numFmtId="0" fontId="0" fillId="0" borderId="6" xfId="0" applyFont="1" applyFill="1" applyBorder="1"/>
    <xf numFmtId="0" fontId="0" fillId="0" borderId="8" xfId="0" applyNumberFormat="1" applyFont="1" applyBorder="1"/>
    <xf numFmtId="0" fontId="0" fillId="0" borderId="17" xfId="0" applyNumberFormat="1" applyFont="1" applyFill="1" applyBorder="1"/>
    <xf numFmtId="0" fontId="0" fillId="0" borderId="17" xfId="0" applyFont="1" applyFill="1" applyBorder="1"/>
    <xf numFmtId="0" fontId="0" fillId="0" borderId="12" xfId="0" applyFont="1" applyFill="1" applyBorder="1"/>
    <xf numFmtId="0" fontId="0" fillId="0" borderId="1" xfId="0" applyFont="1" applyBorder="1"/>
    <xf numFmtId="0" fontId="0" fillId="0" borderId="16" xfId="0" applyFont="1" applyBorder="1"/>
    <xf numFmtId="0" fontId="0" fillId="0" borderId="16" xfId="0" applyFont="1" applyFill="1" applyBorder="1"/>
    <xf numFmtId="0" fontId="0" fillId="0" borderId="8" xfId="0" applyFont="1" applyBorder="1"/>
    <xf numFmtId="0" fontId="0" fillId="0" borderId="17" xfId="0" applyFont="1" applyBorder="1"/>
    <xf numFmtId="0" fontId="24" fillId="0" borderId="0" xfId="0" applyFont="1" applyFill="1" applyBorder="1"/>
    <xf numFmtId="0" fontId="10" fillId="0" borderId="0" xfId="0" applyFont="1" applyBorder="1"/>
    <xf numFmtId="0" fontId="24" fillId="0" borderId="0" xfId="0" applyFont="1" applyBorder="1"/>
    <xf numFmtId="0" fontId="0" fillId="8" borderId="0" xfId="0" applyFont="1" applyFill="1" applyBorder="1"/>
    <xf numFmtId="166" fontId="15" fillId="3" borderId="10" xfId="0" applyNumberFormat="1" applyFont="1" applyFill="1" applyBorder="1" applyAlignment="1" applyProtection="1">
      <alignment horizontal="left"/>
      <protection locked="0"/>
    </xf>
    <xf numFmtId="0" fontId="15" fillId="5" borderId="0" xfId="0" applyFont="1" applyFill="1" applyBorder="1" applyProtection="1"/>
    <xf numFmtId="0" fontId="16" fillId="5" borderId="0" xfId="0" applyFont="1" applyFill="1" applyBorder="1" applyProtection="1"/>
    <xf numFmtId="0" fontId="19" fillId="5" borderId="0" xfId="0" applyFont="1" applyFill="1" applyBorder="1" applyProtection="1"/>
    <xf numFmtId="0" fontId="15" fillId="0" borderId="0" xfId="0" applyFont="1" applyBorder="1" applyProtection="1"/>
    <xf numFmtId="0" fontId="15" fillId="5" borderId="1" xfId="0" applyFont="1" applyFill="1" applyBorder="1" applyProtection="1"/>
    <xf numFmtId="0" fontId="15" fillId="5" borderId="2" xfId="0" applyFont="1" applyFill="1" applyBorder="1" applyProtection="1"/>
    <xf numFmtId="166" fontId="15" fillId="3" borderId="10" xfId="0" applyNumberFormat="1" applyFont="1" applyFill="1" applyBorder="1" applyAlignment="1" applyProtection="1">
      <alignment horizontal="left"/>
    </xf>
    <xf numFmtId="0" fontId="15" fillId="5" borderId="13" xfId="0" applyNumberFormat="1" applyFont="1" applyFill="1" applyBorder="1" applyAlignment="1" applyProtection="1">
      <alignment horizontal="center"/>
    </xf>
    <xf numFmtId="0" fontId="15" fillId="5" borderId="14" xfId="0" applyNumberFormat="1" applyFont="1" applyFill="1" applyBorder="1" applyAlignment="1" applyProtection="1">
      <alignment horizontal="center"/>
    </xf>
    <xf numFmtId="0" fontId="15" fillId="5" borderId="16" xfId="0" applyFont="1" applyFill="1" applyBorder="1" applyProtection="1"/>
    <xf numFmtId="0" fontId="15" fillId="5" borderId="0" xfId="0" applyNumberFormat="1" applyFont="1" applyFill="1" applyBorder="1" applyProtection="1"/>
    <xf numFmtId="0" fontId="15" fillId="5" borderId="6" xfId="0" applyNumberFormat="1" applyFont="1" applyFill="1" applyBorder="1" applyProtection="1"/>
    <xf numFmtId="0" fontId="15" fillId="5" borderId="0" xfId="0" applyFont="1" applyFill="1" applyBorder="1" applyAlignment="1" applyProtection="1">
      <alignment horizontal="right"/>
    </xf>
    <xf numFmtId="2" fontId="15" fillId="5" borderId="11" xfId="3" applyNumberFormat="1" applyFont="1" applyFill="1" applyBorder="1" applyAlignment="1" applyProtection="1"/>
    <xf numFmtId="0" fontId="15" fillId="5" borderId="8" xfId="0" applyFont="1" applyFill="1" applyBorder="1" applyProtection="1"/>
    <xf numFmtId="0" fontId="15" fillId="5" borderId="17" xfId="0" applyFont="1" applyFill="1" applyBorder="1" applyProtection="1"/>
    <xf numFmtId="0" fontId="15" fillId="5" borderId="12" xfId="0" applyFont="1" applyFill="1" applyBorder="1" applyProtection="1"/>
    <xf numFmtId="2" fontId="15" fillId="5" borderId="0" xfId="0" applyNumberFormat="1" applyFont="1" applyFill="1" applyBorder="1" applyProtection="1"/>
    <xf numFmtId="0" fontId="16" fillId="5" borderId="11" xfId="0" applyFont="1" applyFill="1" applyBorder="1" applyProtection="1"/>
    <xf numFmtId="0" fontId="16" fillId="5" borderId="13" xfId="0" applyFont="1" applyFill="1" applyBorder="1" applyProtection="1"/>
    <xf numFmtId="17" fontId="16" fillId="5" borderId="10" xfId="0" quotePrefix="1" applyNumberFormat="1" applyFont="1" applyFill="1" applyBorder="1" applyAlignment="1" applyProtection="1">
      <alignment horizontal="left"/>
    </xf>
    <xf numFmtId="2" fontId="16" fillId="5" borderId="11" xfId="0" applyNumberFormat="1" applyFont="1" applyFill="1" applyBorder="1" applyProtection="1"/>
    <xf numFmtId="0" fontId="16" fillId="5" borderId="10" xfId="0" applyFont="1" applyFill="1" applyBorder="1" applyProtection="1"/>
    <xf numFmtId="2" fontId="16" fillId="5" borderId="13" xfId="0" applyNumberFormat="1" applyFont="1" applyFill="1" applyBorder="1" applyProtection="1"/>
    <xf numFmtId="2" fontId="15" fillId="5" borderId="13" xfId="0" applyNumberFormat="1" applyFont="1" applyFill="1" applyBorder="1" applyProtection="1"/>
    <xf numFmtId="2" fontId="15" fillId="5" borderId="14" xfId="0" applyNumberFormat="1" applyFont="1" applyFill="1" applyBorder="1" applyProtection="1"/>
    <xf numFmtId="0" fontId="15" fillId="5" borderId="10" xfId="0" applyFont="1" applyFill="1" applyBorder="1" applyProtection="1"/>
    <xf numFmtId="0" fontId="15" fillId="5" borderId="10" xfId="0" applyFont="1" applyFill="1" applyBorder="1" applyAlignment="1" applyProtection="1">
      <alignment horizontal="right"/>
    </xf>
    <xf numFmtId="0" fontId="15" fillId="5" borderId="14" xfId="0" applyFont="1" applyFill="1" applyBorder="1" applyAlignment="1" applyProtection="1">
      <alignment horizontal="right"/>
    </xf>
    <xf numFmtId="2" fontId="15" fillId="5" borderId="10" xfId="0" applyNumberFormat="1" applyFont="1" applyFill="1" applyBorder="1" applyAlignment="1" applyProtection="1">
      <alignment horizontal="right"/>
    </xf>
    <xf numFmtId="2" fontId="15" fillId="5" borderId="16" xfId="0" applyNumberFormat="1" applyFont="1" applyFill="1" applyBorder="1" applyProtection="1"/>
    <xf numFmtId="2" fontId="15" fillId="5" borderId="6" xfId="0" applyNumberFormat="1" applyFont="1" applyFill="1" applyBorder="1" applyProtection="1"/>
    <xf numFmtId="0" fontId="15" fillId="5" borderId="6" xfId="0" applyFont="1" applyFill="1" applyBorder="1" applyProtection="1"/>
    <xf numFmtId="2" fontId="15" fillId="5" borderId="18" xfId="0" applyNumberFormat="1" applyFont="1" applyFill="1" applyBorder="1" applyProtection="1"/>
    <xf numFmtId="2" fontId="15" fillId="5" borderId="7" xfId="0" applyNumberFormat="1" applyFont="1" applyFill="1" applyBorder="1" applyProtection="1"/>
    <xf numFmtId="2" fontId="15" fillId="5" borderId="8" xfId="0" applyNumberFormat="1" applyFont="1" applyFill="1" applyBorder="1" applyProtection="1"/>
    <xf numFmtId="2" fontId="15" fillId="5" borderId="17" xfId="0" applyNumberFormat="1" applyFont="1" applyFill="1" applyBorder="1" applyProtection="1"/>
    <xf numFmtId="0" fontId="16" fillId="5" borderId="0" xfId="0" applyFont="1" applyFill="1" applyBorder="1" applyAlignment="1" applyProtection="1">
      <alignment horizontal="left"/>
    </xf>
    <xf numFmtId="0" fontId="15" fillId="5" borderId="11" xfId="0" applyFont="1" applyFill="1" applyBorder="1" applyAlignment="1" applyProtection="1">
      <alignment horizontal="left"/>
    </xf>
    <xf numFmtId="0" fontId="15" fillId="5" borderId="11" xfId="0" applyFont="1" applyFill="1" applyBorder="1" applyProtection="1"/>
    <xf numFmtId="0" fontId="15" fillId="5" borderId="13" xfId="0" applyFont="1" applyFill="1" applyBorder="1" applyProtection="1"/>
    <xf numFmtId="0" fontId="15" fillId="0" borderId="13" xfId="0" applyFont="1" applyBorder="1" applyProtection="1"/>
    <xf numFmtId="2" fontId="17" fillId="5" borderId="11" xfId="0" applyNumberFormat="1" applyFont="1" applyFill="1" applyBorder="1" applyProtection="1"/>
    <xf numFmtId="0" fontId="15" fillId="5" borderId="14" xfId="0" applyFont="1" applyFill="1" applyBorder="1" applyProtection="1"/>
    <xf numFmtId="0" fontId="13" fillId="5" borderId="0" xfId="0" applyFont="1" applyFill="1" applyBorder="1" applyProtection="1"/>
    <xf numFmtId="166" fontId="15" fillId="5" borderId="0" xfId="0" applyNumberFormat="1" applyFont="1" applyFill="1" applyBorder="1" applyAlignment="1" applyProtection="1">
      <alignment horizontal="left"/>
    </xf>
    <xf numFmtId="49" fontId="15" fillId="4" borderId="10" xfId="3" applyNumberFormat="1" applyFont="1" applyFill="1" applyBorder="1" applyAlignment="1" applyProtection="1"/>
    <xf numFmtId="0" fontId="15" fillId="5" borderId="10" xfId="3" applyFont="1" applyFill="1" applyBorder="1" applyProtection="1"/>
    <xf numFmtId="0" fontId="15" fillId="5" borderId="3" xfId="0" applyFont="1" applyFill="1" applyBorder="1" applyProtection="1"/>
    <xf numFmtId="0" fontId="27" fillId="0" borderId="0" xfId="0" applyFont="1" applyBorder="1"/>
    <xf numFmtId="0" fontId="11" fillId="0" borderId="0" xfId="3" applyFont="1" applyFill="1" applyAlignment="1" applyProtection="1">
      <alignment wrapText="1"/>
    </xf>
    <xf numFmtId="0" fontId="11" fillId="0" borderId="0" xfId="3" applyFont="1" applyFill="1" applyAlignment="1" applyProtection="1">
      <alignment horizontal="left" wrapText="1"/>
    </xf>
    <xf numFmtId="0" fontId="14" fillId="0" borderId="0" xfId="3" applyFont="1" applyFill="1" applyAlignment="1" applyProtection="1">
      <alignment horizontal="left" wrapText="1"/>
    </xf>
    <xf numFmtId="0" fontId="14" fillId="0" borderId="0" xfId="3" applyFont="1" applyFill="1" applyAlignment="1" applyProtection="1">
      <alignment wrapText="1"/>
    </xf>
    <xf numFmtId="0" fontId="14" fillId="0" borderId="0" xfId="3" applyFont="1" applyBorder="1" applyAlignment="1" applyProtection="1">
      <alignment vertical="center" wrapText="1"/>
    </xf>
    <xf numFmtId="0" fontId="11" fillId="0" borderId="0" xfId="3" applyFont="1" applyFill="1" applyBorder="1" applyAlignment="1" applyProtection="1"/>
    <xf numFmtId="0" fontId="11" fillId="0" borderId="0" xfId="3" applyFont="1" applyFill="1" applyBorder="1" applyAlignment="1" applyProtection="1">
      <alignment wrapText="1"/>
    </xf>
    <xf numFmtId="0" fontId="11" fillId="0" borderId="0" xfId="3" applyFont="1" applyFill="1" applyBorder="1" applyAlignment="1" applyProtection="1">
      <alignment vertical="center" wrapText="1"/>
    </xf>
    <xf numFmtId="0" fontId="11" fillId="0" borderId="0" xfId="3" applyFont="1" applyFill="1" applyBorder="1" applyAlignment="1" applyProtection="1">
      <alignment horizontal="left" wrapText="1"/>
    </xf>
    <xf numFmtId="0" fontId="11" fillId="0" borderId="0" xfId="0" applyFont="1" applyFill="1" applyBorder="1" applyAlignment="1" applyProtection="1">
      <alignment horizontal="left" wrapText="1"/>
    </xf>
    <xf numFmtId="0" fontId="22" fillId="0" borderId="0" xfId="0" applyFont="1" applyFill="1" applyBorder="1" applyAlignment="1" applyProtection="1">
      <alignment horizontal="left" wrapText="1"/>
    </xf>
    <xf numFmtId="0" fontId="22" fillId="0" borderId="0" xfId="3" applyFont="1" applyFill="1" applyBorder="1" applyAlignment="1" applyProtection="1">
      <alignment horizontal="left" wrapText="1"/>
    </xf>
    <xf numFmtId="0" fontId="14" fillId="0" borderId="0" xfId="3" applyFont="1" applyFill="1" applyBorder="1" applyAlignment="1" applyProtection="1">
      <alignment wrapText="1"/>
    </xf>
    <xf numFmtId="166" fontId="11" fillId="0" borderId="0" xfId="0" applyNumberFormat="1" applyFont="1" applyFill="1" applyBorder="1" applyAlignment="1" applyProtection="1">
      <alignment horizontal="left" wrapText="1"/>
    </xf>
    <xf numFmtId="0" fontId="11" fillId="0" borderId="0" xfId="0" quotePrefix="1" applyFont="1" applyFill="1" applyBorder="1" applyAlignment="1" applyProtection="1">
      <alignment horizontal="left" wrapText="1"/>
    </xf>
    <xf numFmtId="0" fontId="11" fillId="0" borderId="0" xfId="0" applyFont="1" applyFill="1" applyBorder="1" applyAlignment="1" applyProtection="1"/>
    <xf numFmtId="2" fontId="11" fillId="0" borderId="0" xfId="0" applyNumberFormat="1" applyFont="1" applyFill="1" applyBorder="1" applyAlignment="1" applyProtection="1">
      <alignment horizontal="left" wrapText="1"/>
    </xf>
    <xf numFmtId="49" fontId="11" fillId="0" borderId="0" xfId="0" applyNumberFormat="1" applyFont="1" applyFill="1" applyBorder="1" applyAlignment="1" applyProtection="1">
      <alignment horizontal="left" wrapText="1"/>
    </xf>
    <xf numFmtId="0" fontId="11" fillId="0" borderId="0" xfId="0" applyFont="1" applyAlignment="1" applyProtection="1">
      <alignment wrapText="1"/>
    </xf>
    <xf numFmtId="165" fontId="11" fillId="0" borderId="0" xfId="4" applyNumberFormat="1" applyFont="1" applyFill="1" applyBorder="1" applyAlignment="1" applyProtection="1">
      <alignment wrapText="1"/>
    </xf>
    <xf numFmtId="165" fontId="11" fillId="0" borderId="0" xfId="4" applyNumberFormat="1" applyFont="1" applyFill="1" applyBorder="1" applyAlignment="1" applyProtection="1">
      <alignment horizontal="left" vertical="center" wrapText="1"/>
    </xf>
    <xf numFmtId="0" fontId="11" fillId="0" borderId="0" xfId="3" quotePrefix="1" applyFont="1" applyFill="1" applyBorder="1" applyAlignment="1" applyProtection="1">
      <alignment horizontal="left" wrapText="1"/>
    </xf>
    <xf numFmtId="0" fontId="11" fillId="0" borderId="0" xfId="3" quotePrefix="1" applyFont="1" applyFill="1" applyAlignment="1" applyProtection="1">
      <alignment wrapText="1"/>
    </xf>
    <xf numFmtId="0" fontId="11" fillId="0" borderId="0" xfId="3" applyFont="1" applyFill="1" applyBorder="1" applyAlignment="1" applyProtection="1">
      <alignment horizontal="left" vertical="top" wrapText="1"/>
    </xf>
    <xf numFmtId="0" fontId="11" fillId="0" borderId="0" xfId="3" applyFont="1" applyFill="1" applyBorder="1" applyAlignment="1" applyProtection="1">
      <alignment vertical="top" wrapText="1"/>
    </xf>
    <xf numFmtId="0" fontId="11" fillId="0" borderId="0" xfId="3" applyFont="1" applyBorder="1" applyAlignment="1" applyProtection="1">
      <alignment horizontal="left" wrapText="1"/>
    </xf>
    <xf numFmtId="0" fontId="28" fillId="0" borderId="0" xfId="3" applyFont="1" applyFill="1" applyBorder="1" applyAlignment="1" applyProtection="1">
      <alignment wrapText="1"/>
    </xf>
    <xf numFmtId="0" fontId="28" fillId="0" borderId="0" xfId="0" applyFont="1" applyProtection="1"/>
    <xf numFmtId="0" fontId="11" fillId="0" borderId="0" xfId="0" applyFont="1" applyProtection="1"/>
    <xf numFmtId="0" fontId="26" fillId="0" borderId="0" xfId="3" applyFont="1" applyFill="1" applyAlignment="1" applyProtection="1">
      <alignment wrapText="1"/>
    </xf>
    <xf numFmtId="0" fontId="26" fillId="0" borderId="0" xfId="3" applyFont="1" applyFill="1" applyBorder="1" applyAlignment="1" applyProtection="1">
      <alignment horizontal="left" wrapText="1"/>
    </xf>
    <xf numFmtId="1" fontId="16" fillId="5" borderId="0" xfId="4" applyNumberFormat="1" applyFont="1" applyFill="1" applyBorder="1" applyAlignment="1" applyProtection="1">
      <alignment horizontal="left" vertical="center"/>
    </xf>
    <xf numFmtId="1" fontId="15" fillId="5" borderId="0" xfId="4" applyNumberFormat="1" applyFont="1" applyFill="1" applyBorder="1" applyAlignment="1" applyProtection="1">
      <alignment horizontal="right" vertical="center"/>
    </xf>
    <xf numFmtId="164" fontId="15" fillId="5" borderId="0" xfId="4" applyFont="1" applyFill="1" applyAlignment="1" applyProtection="1">
      <alignment horizontal="left" vertical="center"/>
    </xf>
    <xf numFmtId="0" fontId="15" fillId="0" borderId="0" xfId="0" applyFont="1" applyBorder="1" applyAlignment="1" applyProtection="1">
      <alignment horizontal="left" vertical="center"/>
    </xf>
    <xf numFmtId="164" fontId="15" fillId="5" borderId="15" xfId="4" applyFont="1" applyFill="1" applyBorder="1" applyAlignment="1" applyProtection="1">
      <alignment horizontal="left" vertical="center"/>
    </xf>
    <xf numFmtId="0" fontId="15" fillId="5" borderId="0" xfId="0" applyFont="1" applyFill="1" applyBorder="1" applyAlignment="1" applyProtection="1">
      <alignment horizontal="left" vertical="center"/>
    </xf>
    <xf numFmtId="0" fontId="15" fillId="5" borderId="3" xfId="0" applyFont="1" applyFill="1" applyBorder="1" applyAlignment="1" applyProtection="1">
      <alignment horizontal="left" vertical="center"/>
    </xf>
    <xf numFmtId="0" fontId="15" fillId="5" borderId="12" xfId="0" applyFont="1" applyFill="1" applyBorder="1" applyAlignment="1" applyProtection="1">
      <alignment horizontal="left" vertical="center"/>
    </xf>
    <xf numFmtId="0" fontId="15" fillId="5" borderId="21" xfId="0" applyNumberFormat="1" applyFont="1" applyFill="1" applyBorder="1" applyAlignment="1" applyProtection="1">
      <alignment horizontal="left" vertical="center"/>
    </xf>
    <xf numFmtId="0" fontId="15" fillId="5" borderId="18" xfId="0" applyNumberFormat="1" applyFont="1" applyFill="1" applyBorder="1" applyAlignment="1" applyProtection="1">
      <alignment horizontal="left" vertical="center"/>
    </xf>
    <xf numFmtId="0" fontId="15" fillId="5" borderId="6" xfId="0" applyNumberFormat="1" applyFont="1" applyFill="1" applyBorder="1" applyAlignment="1" applyProtection="1">
      <alignment horizontal="left" vertical="center"/>
    </xf>
    <xf numFmtId="0" fontId="16" fillId="5" borderId="7" xfId="0" applyNumberFormat="1" applyFont="1" applyFill="1" applyBorder="1" applyAlignment="1" applyProtection="1">
      <alignment horizontal="left" vertical="center"/>
    </xf>
    <xf numFmtId="0" fontId="15" fillId="5" borderId="0" xfId="0" applyNumberFormat="1" applyFont="1" applyFill="1" applyBorder="1" applyAlignment="1" applyProtection="1">
      <alignment horizontal="left" vertical="center"/>
    </xf>
    <xf numFmtId="2" fontId="15" fillId="5" borderId="0" xfId="0" applyNumberFormat="1" applyFont="1" applyFill="1" applyBorder="1" applyAlignment="1" applyProtection="1">
      <alignment horizontal="left" vertical="center"/>
    </xf>
    <xf numFmtId="0" fontId="15" fillId="5" borderId="21" xfId="0" applyFont="1" applyFill="1" applyBorder="1" applyAlignment="1" applyProtection="1">
      <alignment horizontal="left" vertical="center"/>
    </xf>
    <xf numFmtId="0" fontId="15" fillId="5" borderId="18" xfId="0" applyFont="1" applyFill="1" applyBorder="1" applyAlignment="1" applyProtection="1">
      <alignment horizontal="left" vertical="center"/>
    </xf>
    <xf numFmtId="2" fontId="0" fillId="0" borderId="0" xfId="0" applyNumberFormat="1" applyFont="1" applyBorder="1"/>
    <xf numFmtId="2" fontId="15" fillId="5" borderId="11" xfId="0" applyNumberFormat="1" applyFont="1" applyFill="1" applyBorder="1" applyProtection="1"/>
    <xf numFmtId="0" fontId="15" fillId="5" borderId="10" xfId="0" applyFont="1" applyFill="1" applyBorder="1" applyAlignment="1" applyProtection="1">
      <alignment horizontal="left" vertical="center"/>
    </xf>
    <xf numFmtId="164" fontId="11" fillId="5" borderId="0" xfId="4" applyFont="1" applyFill="1" applyAlignment="1" applyProtection="1">
      <alignment vertical="center"/>
    </xf>
    <xf numFmtId="0" fontId="14" fillId="5" borderId="0" xfId="0" applyNumberFormat="1" applyFont="1" applyFill="1" applyBorder="1" applyAlignment="1" applyProtection="1">
      <alignment horizontal="right" indent="1"/>
    </xf>
    <xf numFmtId="0" fontId="15" fillId="4" borderId="22" xfId="0" applyNumberFormat="1" applyFont="1" applyFill="1" applyBorder="1" applyAlignment="1" applyProtection="1">
      <alignment horizontal="left"/>
      <protection locked="0"/>
    </xf>
    <xf numFmtId="167" fontId="0" fillId="0" borderId="0" xfId="0" applyNumberFormat="1" applyFont="1" applyBorder="1"/>
    <xf numFmtId="0" fontId="0" fillId="8" borderId="14" xfId="0" applyFont="1" applyFill="1" applyBorder="1"/>
    <xf numFmtId="0" fontId="0" fillId="8" borderId="10" xfId="0" applyFont="1" applyFill="1" applyBorder="1"/>
    <xf numFmtId="0" fontId="0" fillId="9" borderId="0" xfId="0" applyFont="1" applyFill="1" applyBorder="1"/>
    <xf numFmtId="20" fontId="15" fillId="0" borderId="0" xfId="0" quotePrefix="1" applyNumberFormat="1" applyFont="1" applyBorder="1" applyProtection="1"/>
    <xf numFmtId="0" fontId="15" fillId="0" borderId="0" xfId="0" quotePrefix="1" applyFont="1" applyBorder="1" applyProtection="1"/>
    <xf numFmtId="1" fontId="15" fillId="5" borderId="0" xfId="3" applyNumberFormat="1" applyFont="1" applyFill="1" applyBorder="1" applyAlignment="1" applyProtection="1"/>
    <xf numFmtId="0" fontId="30" fillId="0" borderId="0" xfId="3" applyFont="1" applyFill="1" applyAlignment="1" applyProtection="1">
      <alignment wrapText="1"/>
    </xf>
    <xf numFmtId="165" fontId="26" fillId="0" borderId="0" xfId="4" applyNumberFormat="1" applyFont="1" applyFill="1" applyBorder="1" applyAlignment="1" applyProtection="1">
      <alignment horizontal="left" vertical="center" wrapText="1"/>
    </xf>
    <xf numFmtId="0" fontId="11" fillId="0" borderId="0" xfId="0" applyFont="1" applyBorder="1" applyAlignment="1">
      <alignment vertical="center"/>
    </xf>
    <xf numFmtId="2" fontId="15" fillId="5" borderId="10" xfId="3" applyNumberFormat="1" applyFont="1" applyFill="1" applyBorder="1" applyAlignment="1" applyProtection="1"/>
    <xf numFmtId="0" fontId="14" fillId="5" borderId="0" xfId="0" applyNumberFormat="1" applyFont="1" applyFill="1" applyBorder="1" applyAlignment="1" applyProtection="1"/>
    <xf numFmtId="49" fontId="16" fillId="5" borderId="0" xfId="0" applyNumberFormat="1" applyFont="1" applyFill="1" applyBorder="1" applyAlignment="1" applyProtection="1">
      <alignment horizontal="left"/>
    </xf>
    <xf numFmtId="49" fontId="15" fillId="5" borderId="0" xfId="0" applyNumberFormat="1" applyFont="1" applyFill="1" applyBorder="1" applyAlignment="1" applyProtection="1">
      <alignment horizontal="left"/>
    </xf>
    <xf numFmtId="0" fontId="4" fillId="0" borderId="4" xfId="0" applyFont="1" applyBorder="1"/>
    <xf numFmtId="0" fontId="6" fillId="0" borderId="0" xfId="0" applyFont="1"/>
    <xf numFmtId="0" fontId="32" fillId="0" borderId="0" xfId="0" applyFont="1" applyAlignment="1">
      <alignment horizontal="left" vertical="center" indent="7"/>
    </xf>
    <xf numFmtId="0" fontId="34" fillId="0" borderId="23" xfId="0" applyFont="1" applyBorder="1" applyAlignment="1">
      <alignment horizontal="left" vertical="center" wrapText="1"/>
    </xf>
    <xf numFmtId="0" fontId="34" fillId="0" borderId="24" xfId="0" applyFont="1" applyBorder="1" applyAlignment="1">
      <alignment horizontal="center" vertical="center" wrapText="1"/>
    </xf>
    <xf numFmtId="0" fontId="33" fillId="10" borderId="25" xfId="0" applyFont="1" applyFill="1" applyBorder="1" applyAlignment="1">
      <alignment horizontal="left" vertical="center" wrapText="1"/>
    </xf>
    <xf numFmtId="0" fontId="36" fillId="0" borderId="26" xfId="0" applyFont="1" applyBorder="1" applyAlignment="1">
      <alignment horizontal="left" vertical="center" wrapText="1"/>
    </xf>
    <xf numFmtId="0" fontId="36" fillId="0" borderId="25" xfId="0" applyFont="1" applyBorder="1" applyAlignment="1">
      <alignment horizontal="center" vertical="center" wrapText="1"/>
    </xf>
    <xf numFmtId="0" fontId="37" fillId="0" borderId="25" xfId="0" applyFont="1" applyBorder="1" applyAlignment="1">
      <alignment horizontal="center" vertical="center" wrapText="1"/>
    </xf>
    <xf numFmtId="0" fontId="36" fillId="0" borderId="27" xfId="0" applyFont="1" applyBorder="1" applyAlignment="1">
      <alignment horizontal="left" vertical="center" wrapText="1"/>
    </xf>
    <xf numFmtId="0" fontId="36" fillId="0" borderId="28" xfId="0" applyFont="1" applyBorder="1" applyAlignment="1">
      <alignment horizontal="center" vertical="center" wrapText="1"/>
    </xf>
    <xf numFmtId="0" fontId="33" fillId="11" borderId="25" xfId="0" applyFont="1" applyFill="1" applyBorder="1" applyAlignment="1">
      <alignment horizontal="left" vertical="center" wrapText="1"/>
    </xf>
    <xf numFmtId="0" fontId="36" fillId="0" borderId="25" xfId="0" applyFont="1" applyBorder="1" applyAlignment="1">
      <alignment horizontal="left" vertical="center" wrapText="1"/>
    </xf>
    <xf numFmtId="0" fontId="37" fillId="0" borderId="27" xfId="0" applyFont="1" applyBorder="1" applyAlignment="1">
      <alignment horizontal="left" vertical="center" wrapText="1"/>
    </xf>
    <xf numFmtId="0" fontId="37" fillId="0" borderId="28" xfId="0" applyFont="1" applyBorder="1" applyAlignment="1">
      <alignment horizontal="center" vertical="center" wrapText="1"/>
    </xf>
    <xf numFmtId="0" fontId="37" fillId="0" borderId="26" xfId="0" applyFont="1" applyBorder="1" applyAlignment="1">
      <alignment horizontal="left" vertical="center" wrapText="1"/>
    </xf>
    <xf numFmtId="0" fontId="40" fillId="0" borderId="0" xfId="0" applyFont="1" applyAlignment="1">
      <alignment horizontal="left" vertical="center"/>
    </xf>
    <xf numFmtId="0" fontId="38" fillId="0" borderId="0" xfId="0" applyFont="1"/>
    <xf numFmtId="0" fontId="34" fillId="0" borderId="0" xfId="0" applyFont="1" applyFill="1" applyBorder="1" applyAlignment="1">
      <alignment horizontal="center" vertical="center" wrapText="1"/>
    </xf>
    <xf numFmtId="2" fontId="19" fillId="5" borderId="17" xfId="3" applyNumberFormat="1" applyFont="1" applyFill="1" applyBorder="1" applyAlignment="1" applyProtection="1"/>
    <xf numFmtId="0" fontId="37" fillId="0" borderId="0" xfId="0" applyFont="1" applyBorder="1" applyAlignment="1">
      <alignment horizontal="center" vertical="center" wrapText="1"/>
    </xf>
    <xf numFmtId="0" fontId="33" fillId="11" borderId="0" xfId="0" applyFont="1" applyFill="1" applyBorder="1" applyAlignment="1">
      <alignment horizontal="left" vertical="center" wrapText="1"/>
    </xf>
    <xf numFmtId="0" fontId="36" fillId="0" borderId="0" xfId="0" applyFont="1" applyBorder="1" applyAlignment="1">
      <alignment horizontal="center" vertical="center" wrapText="1"/>
    </xf>
    <xf numFmtId="0" fontId="36" fillId="0" borderId="0" xfId="0" applyFont="1" applyBorder="1" applyAlignment="1">
      <alignment horizontal="left" vertical="center" wrapText="1"/>
    </xf>
    <xf numFmtId="0" fontId="33" fillId="10" borderId="0" xfId="0" applyFont="1" applyFill="1" applyBorder="1" applyAlignment="1">
      <alignment horizontal="left" vertical="center" wrapText="1"/>
    </xf>
    <xf numFmtId="0" fontId="36" fillId="0" borderId="0" xfId="0" applyFont="1" applyFill="1" applyBorder="1" applyAlignment="1">
      <alignment horizontal="center" vertical="center" wrapText="1"/>
    </xf>
    <xf numFmtId="0" fontId="34" fillId="0" borderId="28" xfId="0" applyFont="1" applyFill="1" applyBorder="1" applyAlignment="1">
      <alignment horizontal="center" vertical="center" wrapText="1"/>
    </xf>
    <xf numFmtId="0" fontId="4" fillId="0" borderId="15" xfId="0" applyFont="1" applyBorder="1"/>
    <xf numFmtId="166" fontId="15" fillId="3" borderId="11" xfId="0" applyNumberFormat="1" applyFont="1" applyFill="1" applyBorder="1" applyAlignment="1" applyProtection="1">
      <alignment horizontal="left"/>
      <protection locked="0"/>
    </xf>
    <xf numFmtId="0" fontId="15" fillId="7" borderId="12" xfId="0" applyNumberFormat="1" applyFont="1" applyFill="1" applyBorder="1" applyAlignment="1" applyProtection="1">
      <alignment horizontal="left"/>
      <protection locked="0"/>
    </xf>
    <xf numFmtId="2" fontId="15" fillId="7" borderId="12" xfId="0" applyNumberFormat="1" applyFont="1" applyFill="1" applyBorder="1" applyProtection="1">
      <protection locked="0"/>
    </xf>
    <xf numFmtId="20" fontId="15" fillId="5" borderId="8" xfId="0" quotePrefix="1" applyNumberFormat="1" applyFont="1" applyFill="1" applyBorder="1" applyAlignment="1" applyProtection="1">
      <alignment horizontal="right"/>
    </xf>
    <xf numFmtId="2" fontId="15" fillId="7" borderId="7" xfId="0" applyNumberFormat="1" applyFont="1" applyFill="1" applyBorder="1" applyProtection="1">
      <protection locked="0"/>
    </xf>
    <xf numFmtId="2" fontId="15" fillId="7" borderId="8" xfId="0" applyNumberFormat="1" applyFont="1" applyFill="1" applyBorder="1" applyProtection="1">
      <protection locked="0"/>
    </xf>
    <xf numFmtId="2" fontId="19" fillId="5" borderId="13" xfId="3" applyNumberFormat="1" applyFont="1" applyFill="1" applyBorder="1" applyAlignment="1" applyProtection="1"/>
    <xf numFmtId="2" fontId="15" fillId="5" borderId="13" xfId="3" applyNumberFormat="1" applyFont="1" applyFill="1" applyBorder="1" applyAlignment="1" applyProtection="1"/>
    <xf numFmtId="2" fontId="15" fillId="5" borderId="14" xfId="3" applyNumberFormat="1" applyFont="1" applyFill="1" applyBorder="1" applyAlignment="1" applyProtection="1"/>
    <xf numFmtId="166" fontId="15" fillId="5" borderId="0" xfId="0" applyNumberFormat="1" applyFont="1" applyFill="1" applyBorder="1" applyProtection="1"/>
    <xf numFmtId="0" fontId="15" fillId="4" borderId="22" xfId="0" applyNumberFormat="1" applyFont="1" applyFill="1" applyBorder="1" applyAlignment="1" applyProtection="1">
      <alignment horizontal="left"/>
    </xf>
    <xf numFmtId="0" fontId="15" fillId="5" borderId="0" xfId="0" applyNumberFormat="1" applyFont="1" applyFill="1" applyBorder="1" applyAlignment="1" applyProtection="1">
      <alignment horizontal="left"/>
    </xf>
    <xf numFmtId="166" fontId="15" fillId="5" borderId="11" xfId="0" applyNumberFormat="1" applyFont="1" applyFill="1" applyBorder="1" applyAlignment="1" applyProtection="1">
      <alignment horizontal="left"/>
    </xf>
    <xf numFmtId="0" fontId="27" fillId="0" borderId="0" xfId="0" applyFont="1" applyFill="1" applyAlignment="1">
      <alignment wrapText="1"/>
    </xf>
    <xf numFmtId="0" fontId="0" fillId="0" borderId="0" xfId="0" applyFill="1" applyAlignment="1">
      <alignment wrapText="1"/>
    </xf>
    <xf numFmtId="0" fontId="22" fillId="0" borderId="0" xfId="3" applyFont="1" applyFill="1" applyAlignment="1" applyProtection="1">
      <alignment wrapText="1"/>
    </xf>
    <xf numFmtId="0" fontId="11" fillId="0" borderId="0" xfId="3" applyFill="1" applyAlignment="1" applyProtection="1">
      <alignment wrapText="1"/>
    </xf>
    <xf numFmtId="0" fontId="13" fillId="0" borderId="0" xfId="0" applyFont="1" applyAlignment="1" applyProtection="1">
      <alignment wrapText="1"/>
    </xf>
    <xf numFmtId="164" fontId="11" fillId="0" borderId="0" xfId="4" applyFont="1" applyFill="1" applyAlignment="1" applyProtection="1">
      <alignment wrapText="1"/>
    </xf>
    <xf numFmtId="0" fontId="31" fillId="0" borderId="0" xfId="3" applyFont="1" applyFill="1" applyBorder="1" applyAlignment="1" applyProtection="1">
      <alignment wrapText="1"/>
    </xf>
    <xf numFmtId="0" fontId="11" fillId="0" borderId="0" xfId="0" applyFont="1" applyFill="1" applyBorder="1" applyAlignment="1" applyProtection="1">
      <alignment wrapText="1"/>
    </xf>
    <xf numFmtId="0" fontId="26" fillId="0" borderId="0" xfId="0" applyFont="1" applyFill="1" applyBorder="1" applyAlignment="1" applyProtection="1">
      <alignment wrapText="1"/>
    </xf>
    <xf numFmtId="2" fontId="11" fillId="0" borderId="0" xfId="0" applyNumberFormat="1" applyFont="1" applyFill="1" applyBorder="1" applyAlignment="1" applyProtection="1">
      <alignment wrapText="1"/>
    </xf>
    <xf numFmtId="2" fontId="22" fillId="0" borderId="0" xfId="0" applyNumberFormat="1" applyFont="1" applyFill="1" applyBorder="1" applyAlignment="1" applyProtection="1">
      <alignment wrapText="1"/>
    </xf>
    <xf numFmtId="2" fontId="26" fillId="0" borderId="0" xfId="0" applyNumberFormat="1" applyFont="1" applyFill="1" applyBorder="1" applyAlignment="1" applyProtection="1">
      <alignment wrapText="1"/>
    </xf>
    <xf numFmtId="165" fontId="22" fillId="0" borderId="0" xfId="4" applyNumberFormat="1" applyFont="1" applyFill="1" applyBorder="1" applyAlignment="1" applyProtection="1">
      <alignment wrapText="1"/>
    </xf>
    <xf numFmtId="20" fontId="31" fillId="0" borderId="0" xfId="0" quotePrefix="1" applyNumberFormat="1" applyFont="1" applyBorder="1" applyAlignment="1" applyProtection="1">
      <alignment wrapText="1"/>
    </xf>
    <xf numFmtId="0" fontId="31" fillId="0" borderId="0" xfId="0" quotePrefix="1" applyFont="1" applyBorder="1" applyAlignment="1" applyProtection="1">
      <alignment wrapText="1"/>
    </xf>
    <xf numFmtId="0" fontId="15" fillId="5" borderId="0" xfId="0" applyFont="1" applyFill="1" applyBorder="1" applyAlignment="1" applyProtection="1">
      <alignment wrapText="1"/>
    </xf>
    <xf numFmtId="0" fontId="15" fillId="0" borderId="0" xfId="0" applyFont="1" applyBorder="1" applyAlignment="1" applyProtection="1">
      <alignment wrapText="1"/>
    </xf>
    <xf numFmtId="20" fontId="15" fillId="0" borderId="0" xfId="0" quotePrefix="1" applyNumberFormat="1" applyFont="1" applyBorder="1" applyAlignment="1" applyProtection="1">
      <alignment wrapText="1"/>
    </xf>
    <xf numFmtId="0" fontId="15" fillId="0" borderId="0" xfId="0" quotePrefix="1" applyFont="1" applyBorder="1" applyAlignment="1" applyProtection="1">
      <alignment wrapText="1"/>
    </xf>
    <xf numFmtId="0" fontId="16" fillId="5" borderId="0" xfId="0" applyFont="1" applyFill="1" applyBorder="1" applyAlignment="1" applyProtection="1">
      <alignment wrapText="1"/>
    </xf>
    <xf numFmtId="0" fontId="0" fillId="0" borderId="0" xfId="0" applyFont="1" applyBorder="1" applyAlignment="1">
      <alignment wrapText="1"/>
    </xf>
    <xf numFmtId="0" fontId="0" fillId="0" borderId="0" xfId="0" applyFont="1" applyFill="1" applyBorder="1" applyAlignment="1">
      <alignment wrapText="1"/>
    </xf>
    <xf numFmtId="0" fontId="16" fillId="0" borderId="0" xfId="3" applyFont="1" applyFill="1" applyAlignment="1" applyProtection="1">
      <alignment wrapText="1"/>
    </xf>
    <xf numFmtId="0" fontId="42" fillId="0" borderId="0" xfId="0" applyFont="1"/>
    <xf numFmtId="0" fontId="13" fillId="0" borderId="0" xfId="0" applyFont="1" applyAlignment="1">
      <alignment vertical="center"/>
    </xf>
    <xf numFmtId="0" fontId="28" fillId="0" borderId="0" xfId="3" applyFont="1" applyFill="1" applyAlignment="1" applyProtection="1">
      <alignment wrapText="1"/>
    </xf>
    <xf numFmtId="0" fontId="15" fillId="5" borderId="13" xfId="0" applyFont="1" applyFill="1" applyBorder="1" applyAlignment="1" applyProtection="1">
      <alignment horizontal="right"/>
    </xf>
    <xf numFmtId="0" fontId="26" fillId="0" borderId="0" xfId="3" applyFont="1" applyFill="1" applyBorder="1" applyAlignment="1" applyProtection="1">
      <alignment wrapText="1"/>
    </xf>
    <xf numFmtId="0" fontId="9" fillId="0" borderId="0" xfId="7" applyFont="1" applyFill="1" applyBorder="1"/>
    <xf numFmtId="0" fontId="6" fillId="9" borderId="0" xfId="0" applyFont="1" applyFill="1" applyBorder="1"/>
    <xf numFmtId="0" fontId="43" fillId="5" borderId="16" xfId="0" applyFont="1" applyFill="1" applyBorder="1" applyProtection="1"/>
    <xf numFmtId="0" fontId="44" fillId="0" borderId="0" xfId="8" applyBorder="1"/>
    <xf numFmtId="0" fontId="45" fillId="0" borderId="0" xfId="0" applyFont="1" applyBorder="1"/>
    <xf numFmtId="0" fontId="49" fillId="0" borderId="0" xfId="3" applyFont="1" applyFill="1" applyAlignment="1" applyProtection="1">
      <alignment wrapText="1"/>
    </xf>
    <xf numFmtId="0" fontId="48" fillId="0" borderId="0" xfId="0" applyFont="1" applyFill="1" applyBorder="1" applyAlignment="1" applyProtection="1">
      <alignment horizontal="left" wrapText="1"/>
    </xf>
    <xf numFmtId="2" fontId="48" fillId="0" borderId="0" xfId="0" applyNumberFormat="1" applyFont="1" applyFill="1" applyBorder="1" applyAlignment="1" applyProtection="1">
      <alignment wrapText="1"/>
    </xf>
    <xf numFmtId="0" fontId="48" fillId="0" borderId="0" xfId="3" applyFont="1" applyFill="1" applyBorder="1" applyAlignment="1" applyProtection="1">
      <alignment horizontal="left" wrapText="1"/>
    </xf>
    <xf numFmtId="0" fontId="50" fillId="5" borderId="0" xfId="0" applyFont="1" applyFill="1" applyBorder="1" applyProtection="1"/>
    <xf numFmtId="0" fontId="51" fillId="5" borderId="0" xfId="0" applyFont="1" applyFill="1" applyBorder="1" applyAlignment="1" applyProtection="1">
      <alignment horizontal="right"/>
    </xf>
    <xf numFmtId="0" fontId="6" fillId="0" borderId="0" xfId="0" applyFont="1" applyBorder="1" applyAlignment="1">
      <alignment vertical="top"/>
    </xf>
    <xf numFmtId="0" fontId="6" fillId="0" borderId="0" xfId="0" applyFont="1" applyAlignment="1">
      <alignment vertical="top"/>
    </xf>
    <xf numFmtId="0" fontId="6" fillId="0" borderId="0" xfId="0" applyFont="1" applyFill="1" applyBorder="1" applyAlignment="1">
      <alignment vertical="top"/>
    </xf>
    <xf numFmtId="0" fontId="9" fillId="0" borderId="0" xfId="1" applyFont="1" applyFill="1" applyBorder="1" applyAlignment="1">
      <alignment vertical="top"/>
    </xf>
    <xf numFmtId="0" fontId="0" fillId="0" borderId="0" xfId="0" applyFont="1" applyBorder="1" applyAlignment="1">
      <alignment vertical="top"/>
    </xf>
    <xf numFmtId="0" fontId="0" fillId="0" borderId="0" xfId="0" applyFont="1" applyBorder="1" applyAlignment="1">
      <alignment vertical="top" wrapText="1"/>
    </xf>
    <xf numFmtId="0" fontId="39" fillId="11" borderId="29" xfId="0" applyFont="1" applyFill="1" applyBorder="1" applyAlignment="1">
      <alignment horizontal="left" vertical="top"/>
    </xf>
    <xf numFmtId="0" fontId="39" fillId="11" borderId="30" xfId="0" applyFont="1" applyFill="1" applyBorder="1" applyAlignment="1">
      <alignment horizontal="left" vertical="top"/>
    </xf>
    <xf numFmtId="0" fontId="34" fillId="10" borderId="29" xfId="0" applyFont="1" applyFill="1" applyBorder="1" applyAlignment="1">
      <alignment horizontal="center" vertical="center" wrapText="1"/>
    </xf>
    <xf numFmtId="0" fontId="34" fillId="10" borderId="30" xfId="0" applyFont="1" applyFill="1" applyBorder="1" applyAlignment="1">
      <alignment horizontal="center" vertical="center" wrapText="1"/>
    </xf>
    <xf numFmtId="0" fontId="34" fillId="11" borderId="29" xfId="0" applyFont="1" applyFill="1" applyBorder="1" applyAlignment="1">
      <alignment horizontal="center" vertical="center" wrapText="1"/>
    </xf>
    <xf numFmtId="0" fontId="34" fillId="11" borderId="30" xfId="0" applyFont="1" applyFill="1" applyBorder="1" applyAlignment="1">
      <alignment horizontal="center" vertical="center" wrapText="1"/>
    </xf>
  </cellXfs>
  <cellStyles count="9">
    <cellStyle name="40 % - Akzent2" xfId="1" builtinId="35"/>
    <cellStyle name="40 % - Akzent2 2" xfId="7"/>
    <cellStyle name="Komma" xfId="6" builtinId="3"/>
    <cellStyle name="Link" xfId="8" builtinId="8"/>
    <cellStyle name="Standard" xfId="0" builtinId="0"/>
    <cellStyle name="Standard 2" xfId="2"/>
    <cellStyle name="Standard 3" xfId="3"/>
    <cellStyle name="Standard 4" xfId="5"/>
    <cellStyle name="Standard_Suisse-Bilanz 20131" xfId="4"/>
  </cellStyles>
  <dxfs count="0"/>
  <tableStyles count="0" defaultTableStyle="TableStyleMedium9" defaultPivotStyle="PivotStyleLight16"/>
  <colors>
    <mruColors>
      <color rgb="FFCCFFCC"/>
      <color rgb="FF99FFCC"/>
      <color rgb="FF00FF99"/>
      <color rgb="FFFFFFCC"/>
      <color rgb="FFFFEDB3"/>
      <color rgb="FFE3E0CF"/>
      <color rgb="FFEBE9DD"/>
      <color rgb="FFEFD2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Formeln_GRUD!$P$138</c:f>
          <c:strCache>
            <c:ptCount val="1"/>
          </c:strCache>
        </c:strRef>
      </c:tx>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de-DE"/>
        </a:p>
      </c:txPr>
    </c:title>
    <c:autoTitleDeleted val="0"/>
    <c:plotArea>
      <c:layout/>
      <c:barChart>
        <c:barDir val="col"/>
        <c:grouping val="clustered"/>
        <c:varyColors val="0"/>
        <c:ser>
          <c:idx val="0"/>
          <c:order val="0"/>
          <c:tx>
            <c:strRef>
              <c:f>Formeln_GRUD!$P$138</c:f>
              <c:strCache>
                <c:ptCount val="1"/>
              </c:strCache>
            </c:strRef>
          </c:tx>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50000"/>
                        <a:lumOff val="50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Formeln_GRUD!$N$133:$N$135</c:f>
              <c:strCache>
                <c:ptCount val="3"/>
                <c:pt idx="0">
                  <c:v>Schleppschlauch</c:v>
                </c:pt>
                <c:pt idx="1">
                  <c:v>Schleppschuh</c:v>
                </c:pt>
                <c:pt idx="2">
                  <c:v>Gülledrill</c:v>
                </c:pt>
              </c:strCache>
            </c:strRef>
          </c:cat>
          <c:val>
            <c:numRef>
              <c:f>Formeln_GRUD!$Q$133:$Q$135</c:f>
              <c:numCache>
                <c:formatCode>0.00</c:formatCode>
                <c:ptCount val="3"/>
                <c:pt idx="0">
                  <c:v>0</c:v>
                </c:pt>
                <c:pt idx="1">
                  <c:v>0</c:v>
                </c:pt>
                <c:pt idx="2">
                  <c:v>0</c:v>
                </c:pt>
              </c:numCache>
            </c:numRef>
          </c:val>
        </c:ser>
        <c:dLbls>
          <c:dLblPos val="outEnd"/>
          <c:showLegendKey val="0"/>
          <c:showVal val="1"/>
          <c:showCatName val="0"/>
          <c:showSerName val="0"/>
          <c:showPercent val="0"/>
          <c:showBubbleSize val="0"/>
        </c:dLbls>
        <c:gapWidth val="100"/>
        <c:overlap val="-24"/>
        <c:axId val="438587232"/>
        <c:axId val="438591936"/>
      </c:barChart>
      <c:catAx>
        <c:axId val="438587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de-DE"/>
          </a:p>
        </c:txPr>
        <c:crossAx val="438591936"/>
        <c:crosses val="autoZero"/>
        <c:auto val="1"/>
        <c:lblAlgn val="ctr"/>
        <c:lblOffset val="100"/>
        <c:noMultiLvlLbl val="0"/>
      </c:catAx>
      <c:valAx>
        <c:axId val="4385919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r>
                  <a:rPr lang="de-CH"/>
                  <a:t>CHF</a:t>
                </a:r>
              </a:p>
            </c:rich>
          </c:tx>
          <c:layout>
            <c:manualLayout>
              <c:xMode val="edge"/>
              <c:yMode val="edge"/>
              <c:x val="2.4202416049060392E-2"/>
              <c:y val="0.4855612733397966"/>
            </c:manualLayout>
          </c:layout>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50000"/>
                      <a:lumOff val="50000"/>
                    </a:schemeClr>
                  </a:solidFill>
                  <a:latin typeface="+mn-lt"/>
                  <a:ea typeface="+mn-ea"/>
                  <a:cs typeface="+mn-cs"/>
                </a:defRPr>
              </a:pPr>
              <a:endParaRPr lang="de-DE"/>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de-DE"/>
          </a:p>
        </c:txPr>
        <c:crossAx val="4385872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0"/>
            <c:dispEq val="1"/>
            <c:trendlineLbl>
              <c:layout>
                <c:manualLayout>
                  <c:x val="-0.12331452318460193"/>
                  <c:y val="-1.54724409448818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trendlineLbl>
          </c:trendline>
          <c:xVal>
            <c:numRef>
              <c:f>Kompost!$D$119:$D$122</c:f>
              <c:numCache>
                <c:formatCode>General</c:formatCode>
                <c:ptCount val="4"/>
                <c:pt idx="0">
                  <c:v>15</c:v>
                </c:pt>
                <c:pt idx="1">
                  <c:v>25</c:v>
                </c:pt>
                <c:pt idx="2">
                  <c:v>35</c:v>
                </c:pt>
                <c:pt idx="3">
                  <c:v>45</c:v>
                </c:pt>
              </c:numCache>
            </c:numRef>
          </c:xVal>
          <c:yVal>
            <c:numRef>
              <c:f>Kompost!$E$119:$E$122</c:f>
              <c:numCache>
                <c:formatCode>General</c:formatCode>
                <c:ptCount val="4"/>
                <c:pt idx="0">
                  <c:v>12</c:v>
                </c:pt>
                <c:pt idx="1">
                  <c:v>22</c:v>
                </c:pt>
                <c:pt idx="2">
                  <c:v>30</c:v>
                </c:pt>
                <c:pt idx="3">
                  <c:v>38</c:v>
                </c:pt>
              </c:numCache>
            </c:numRef>
          </c:yVal>
          <c:smooth val="0"/>
        </c:ser>
        <c:dLbls>
          <c:showLegendKey val="0"/>
          <c:showVal val="0"/>
          <c:showCatName val="0"/>
          <c:showSerName val="0"/>
          <c:showPercent val="0"/>
          <c:showBubbleSize val="0"/>
        </c:dLbls>
        <c:axId val="438595464"/>
        <c:axId val="438584880"/>
      </c:scatterChart>
      <c:valAx>
        <c:axId val="4385954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8584880"/>
        <c:crosses val="autoZero"/>
        <c:crossBetween val="midCat"/>
      </c:valAx>
      <c:valAx>
        <c:axId val="438584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43859546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1980</xdr:colOff>
      <xdr:row>0</xdr:row>
      <xdr:rowOff>113211</xdr:rowOff>
    </xdr:from>
    <xdr:to>
      <xdr:col>2</xdr:col>
      <xdr:colOff>505592</xdr:colOff>
      <xdr:row>3</xdr:row>
      <xdr:rowOff>96106</xdr:rowOff>
    </xdr:to>
    <xdr:pic>
      <xdr:nvPicPr>
        <xdr:cNvPr id="2" name="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107" y="113211"/>
          <a:ext cx="1459576" cy="42624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1</xdr:col>
      <xdr:colOff>37506</xdr:colOff>
      <xdr:row>63</xdr:row>
      <xdr:rowOff>131126</xdr:rowOff>
    </xdr:from>
    <xdr:to>
      <xdr:col>5</xdr:col>
      <xdr:colOff>372094</xdr:colOff>
      <xdr:row>76</xdr:row>
      <xdr:rowOff>68778</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15836</xdr:colOff>
      <xdr:row>49</xdr:row>
      <xdr:rowOff>106283</xdr:rowOff>
    </xdr:from>
    <xdr:to>
      <xdr:col>2</xdr:col>
      <xdr:colOff>519448</xdr:colOff>
      <xdr:row>52</xdr:row>
      <xdr:rowOff>89178</xdr:rowOff>
    </xdr:to>
    <xdr:pic>
      <xdr:nvPicPr>
        <xdr:cNvPr id="6" name="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63" y="6908865"/>
          <a:ext cx="1459576" cy="42624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205746</xdr:colOff>
      <xdr:row>108</xdr:row>
      <xdr:rowOff>41910</xdr:rowOff>
    </xdr:from>
    <xdr:to>
      <xdr:col>12</xdr:col>
      <xdr:colOff>586746</xdr:colOff>
      <xdr:row>120</xdr:row>
      <xdr:rowOff>3810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https://www.landisurb.ch/landi-agro/agroaktuell/duenger"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X133"/>
  <sheetViews>
    <sheetView showGridLines="0" showRowColHeaders="0" tabSelected="1" showRuler="0" zoomScale="120" zoomScaleNormal="120" zoomScalePageLayoutView="140" workbookViewId="0">
      <selection activeCell="C8" sqref="C8"/>
    </sheetView>
  </sheetViews>
  <sheetFormatPr baseColWidth="10" defaultColWidth="11.42578125" defaultRowHeight="12" x14ac:dyDescent="0.2"/>
  <cols>
    <col min="1" max="1" width="1.42578125" style="14" customWidth="1"/>
    <col min="2" max="2" width="15.5703125" style="63" customWidth="1"/>
    <col min="3" max="3" width="12" style="63" customWidth="1"/>
    <col min="4" max="4" width="10.85546875" style="63" customWidth="1"/>
    <col min="5" max="5" width="23.85546875" style="63" customWidth="1"/>
    <col min="6" max="6" width="8.42578125" style="63" customWidth="1"/>
    <col min="7" max="7" width="11" style="63" customWidth="1"/>
    <col min="8" max="8" width="7.5703125" style="63" customWidth="1"/>
    <col min="9" max="9" width="10.7109375" style="63" customWidth="1"/>
    <col min="10" max="15" width="8.140625" style="63" customWidth="1"/>
    <col min="16" max="16" width="6.85546875" style="144" customWidth="1"/>
    <col min="17" max="17" width="2.28515625" style="60" customWidth="1"/>
    <col min="18" max="18" width="20.5703125" style="60" customWidth="1"/>
    <col min="19" max="19" width="10.85546875" style="60" customWidth="1"/>
    <col min="20" max="24" width="11.42578125" style="60"/>
    <col min="25" max="16384" width="11.42578125" style="63"/>
  </cols>
  <sheetData>
    <row r="1" spans="1:16" x14ac:dyDescent="0.2">
      <c r="B1" s="15"/>
      <c r="C1" s="15"/>
      <c r="D1" s="15"/>
      <c r="E1" s="15"/>
      <c r="F1" s="15"/>
      <c r="G1" s="15"/>
      <c r="H1" s="15"/>
      <c r="I1" s="15"/>
      <c r="J1" s="15"/>
      <c r="K1" s="15"/>
      <c r="L1" s="15"/>
      <c r="M1" s="15"/>
      <c r="N1" s="15"/>
      <c r="O1" s="15"/>
      <c r="P1" s="143"/>
    </row>
    <row r="2" spans="1:16" x14ac:dyDescent="0.2">
      <c r="A2" s="16"/>
      <c r="B2" s="15"/>
      <c r="C2" s="15"/>
      <c r="D2" s="15"/>
      <c r="E2" s="16"/>
      <c r="F2" s="16"/>
      <c r="G2" s="16"/>
      <c r="H2" s="16"/>
      <c r="I2" s="16"/>
      <c r="J2" s="141" t="str">
        <f>Texte!A13</f>
        <v>Hofdüngerwert-Rechner</v>
      </c>
      <c r="K2" s="25"/>
      <c r="L2" s="19"/>
      <c r="N2" s="19"/>
      <c r="O2" s="19"/>
    </row>
    <row r="3" spans="1:16" ht="11.45" customHeight="1" x14ac:dyDescent="0.2">
      <c r="A3" s="16"/>
      <c r="B3" s="15"/>
      <c r="C3" s="15"/>
      <c r="D3" s="15"/>
      <c r="E3" s="16"/>
      <c r="F3" s="16"/>
      <c r="G3" s="16"/>
      <c r="H3" s="16"/>
      <c r="I3" s="16"/>
      <c r="J3" s="16" t="str">
        <f>Texte!A17</f>
        <v>Sprache:</v>
      </c>
      <c r="K3" s="59" t="s">
        <v>117</v>
      </c>
      <c r="L3" s="20"/>
      <c r="M3" s="60"/>
      <c r="N3" s="20"/>
      <c r="O3" s="20"/>
      <c r="P3" s="142" t="str">
        <f ca="1">Formeln_GRUD!C26</f>
        <v>Version: 1.1, Juli 2023</v>
      </c>
    </row>
    <row r="4" spans="1:16" ht="11.45" customHeight="1" thickBot="1" x14ac:dyDescent="0.25">
      <c r="A4" s="16"/>
      <c r="B4" s="21"/>
      <c r="C4" s="21"/>
      <c r="D4" s="21"/>
      <c r="E4" s="21"/>
      <c r="F4" s="21"/>
      <c r="G4" s="21"/>
      <c r="H4" s="21"/>
      <c r="I4" s="21"/>
      <c r="J4" s="21"/>
      <c r="K4" s="22"/>
      <c r="L4" s="22"/>
      <c r="M4" s="22"/>
      <c r="N4" s="22"/>
      <c r="O4" s="22"/>
      <c r="P4" s="145"/>
    </row>
    <row r="5" spans="1:16" ht="6" customHeight="1" x14ac:dyDescent="0.2">
      <c r="A5" s="16"/>
      <c r="B5" s="17"/>
      <c r="C5" s="17"/>
      <c r="D5" s="17"/>
      <c r="E5" s="17"/>
      <c r="F5" s="23"/>
      <c r="G5" s="23"/>
      <c r="H5" s="23"/>
      <c r="I5" s="23"/>
      <c r="J5" s="18"/>
      <c r="K5" s="18"/>
      <c r="L5" s="18"/>
      <c r="M5" s="16"/>
      <c r="N5" s="16"/>
      <c r="O5" s="105"/>
      <c r="P5" s="146"/>
    </row>
    <row r="6" spans="1:16" ht="11.85" customHeight="1" x14ac:dyDescent="0.2">
      <c r="A6" s="16"/>
      <c r="B6" s="61" t="str">
        <f>Texte!A4</f>
        <v>Berechnung des monetären Wertes der verfügbaren Nährstoffe von ausgebrachtem Hofdünger anhand aktuellen Handelsdüngerpreisen</v>
      </c>
      <c r="C6" s="17"/>
      <c r="D6" s="17"/>
      <c r="E6" s="17"/>
      <c r="F6" s="23"/>
      <c r="G6" s="23"/>
      <c r="H6" s="23"/>
      <c r="I6" s="23"/>
      <c r="J6" s="18"/>
      <c r="K6" s="18"/>
      <c r="L6" s="18"/>
      <c r="M6" s="16"/>
      <c r="N6" s="16"/>
      <c r="O6" s="105"/>
      <c r="P6" s="146"/>
    </row>
    <row r="7" spans="1:16" ht="6.75" customHeight="1" x14ac:dyDescent="0.2">
      <c r="A7" s="16"/>
      <c r="B7" s="61"/>
      <c r="C7" s="17"/>
      <c r="D7" s="17"/>
      <c r="E7" s="17"/>
      <c r="F7" s="23"/>
      <c r="G7" s="23"/>
      <c r="H7" s="23"/>
      <c r="I7" s="23"/>
      <c r="J7" s="60"/>
      <c r="K7" s="60"/>
      <c r="L7" s="60"/>
      <c r="M7" s="16"/>
      <c r="N7" s="16"/>
      <c r="O7" s="105"/>
      <c r="P7" s="146"/>
    </row>
    <row r="8" spans="1:16" ht="11.85" customHeight="1" x14ac:dyDescent="0.2">
      <c r="A8" s="16"/>
      <c r="B8" s="175" t="str">
        <f>Texte!A6</f>
        <v>Name / Vorname</v>
      </c>
      <c r="C8" s="162"/>
      <c r="D8" s="215"/>
      <c r="E8" s="215"/>
      <c r="F8" s="215"/>
      <c r="G8" s="215"/>
      <c r="H8" s="215"/>
      <c r="I8" s="216"/>
      <c r="J8" s="60"/>
      <c r="K8" s="66" t="str">
        <f>Texte!A19</f>
        <v>grüne Zellen:</v>
      </c>
      <c r="L8" s="66"/>
      <c r="M8" s="27" t="str">
        <f>Texte!A22</f>
        <v>Auswahllisten</v>
      </c>
      <c r="N8" s="60"/>
      <c r="O8" s="60"/>
      <c r="P8" s="146"/>
    </row>
    <row r="9" spans="1:16" ht="11.85" customHeight="1" x14ac:dyDescent="0.2">
      <c r="A9" s="174"/>
      <c r="B9" s="176" t="str">
        <f>Texte!A7</f>
        <v>Strasse / Hof</v>
      </c>
      <c r="C9" s="162"/>
      <c r="D9" s="215"/>
      <c r="E9" s="215"/>
      <c r="F9" s="215"/>
      <c r="G9" s="215"/>
      <c r="H9" s="215"/>
      <c r="I9" s="216"/>
      <c r="J9" s="60"/>
      <c r="K9" s="106" t="str">
        <f>Texte!A20</f>
        <v>gelbe Zeilen:</v>
      </c>
      <c r="L9" s="106"/>
      <c r="M9" s="14" t="str">
        <f>Texte!A23</f>
        <v>zur Dateneingabe</v>
      </c>
      <c r="N9" s="60"/>
      <c r="O9" s="60"/>
      <c r="P9" s="60"/>
    </row>
    <row r="10" spans="1:16" ht="11.85" customHeight="1" x14ac:dyDescent="0.2">
      <c r="A10" s="160"/>
      <c r="B10" s="176" t="str">
        <f>Texte!A8</f>
        <v>PLZ / Ort</v>
      </c>
      <c r="C10" s="162"/>
      <c r="D10" s="215"/>
      <c r="E10" s="215"/>
      <c r="F10" s="215"/>
      <c r="G10" s="215"/>
      <c r="H10" s="215"/>
      <c r="I10" s="216"/>
      <c r="J10" s="60"/>
      <c r="K10" s="107" t="str">
        <f>Texte!A21</f>
        <v xml:space="preserve">weisse Zellen: </v>
      </c>
      <c r="L10" s="107"/>
      <c r="M10" s="14" t="str">
        <f>Texte!A24</f>
        <v>gesperrte Zellen</v>
      </c>
      <c r="N10" s="60"/>
      <c r="O10" s="60"/>
      <c r="P10" s="60"/>
    </row>
    <row r="11" spans="1:16" ht="11.85" customHeight="1" x14ac:dyDescent="0.2">
      <c r="A11" s="174"/>
      <c r="B11" s="176" t="str">
        <f>Texte!A9</f>
        <v>Telefon</v>
      </c>
      <c r="C11" s="162"/>
      <c r="D11" s="215"/>
      <c r="E11" s="215"/>
      <c r="F11" s="215"/>
      <c r="G11" s="215"/>
      <c r="H11" s="215"/>
      <c r="I11" s="216"/>
      <c r="J11" s="60"/>
      <c r="K11" s="60"/>
      <c r="L11" s="60"/>
      <c r="M11" s="60"/>
      <c r="N11" s="60"/>
      <c r="O11" s="60"/>
      <c r="P11" s="60"/>
    </row>
    <row r="12" spans="1:16" ht="11.85" customHeight="1" x14ac:dyDescent="0.2">
      <c r="A12" s="174"/>
      <c r="B12" s="176" t="str">
        <f>Texte!A10</f>
        <v>Notizen</v>
      </c>
      <c r="C12" s="162"/>
      <c r="D12" s="215"/>
      <c r="E12" s="215"/>
      <c r="F12" s="215"/>
      <c r="G12" s="215"/>
      <c r="H12" s="215"/>
      <c r="I12" s="216"/>
      <c r="J12" s="160"/>
      <c r="K12" s="161"/>
      <c r="L12" s="60"/>
      <c r="M12" s="60"/>
      <c r="N12" s="60"/>
      <c r="O12" s="60"/>
      <c r="P12" s="60"/>
    </row>
    <row r="13" spans="1:16" ht="11.85" customHeight="1" x14ac:dyDescent="0.2">
      <c r="A13" s="174"/>
      <c r="B13" s="176"/>
      <c r="C13" s="162"/>
      <c r="D13" s="215"/>
      <c r="E13" s="215"/>
      <c r="F13" s="215"/>
      <c r="G13" s="215"/>
      <c r="H13" s="215"/>
      <c r="I13" s="216"/>
      <c r="J13" s="160"/>
      <c r="K13" s="161"/>
      <c r="L13" s="60"/>
      <c r="M13" s="60"/>
      <c r="N13" s="60"/>
      <c r="O13" s="60"/>
      <c r="P13" s="60"/>
    </row>
    <row r="14" spans="1:16" ht="6" customHeight="1" x14ac:dyDescent="0.2">
      <c r="A14" s="16"/>
      <c r="B14" s="60"/>
      <c r="C14" s="60"/>
      <c r="D14" s="60"/>
      <c r="E14" s="60"/>
      <c r="F14" s="60"/>
      <c r="G14" s="60"/>
      <c r="H14" s="60"/>
      <c r="I14" s="60"/>
      <c r="J14" s="60"/>
      <c r="K14" s="60"/>
      <c r="L14" s="60"/>
      <c r="M14" s="60"/>
      <c r="N14" s="60"/>
      <c r="O14" s="60"/>
      <c r="P14" s="146"/>
    </row>
    <row r="15" spans="1:16" x14ac:dyDescent="0.2">
      <c r="A15" s="16"/>
      <c r="B15" s="24" t="str">
        <f>Texte!A18</f>
        <v>Anleitung</v>
      </c>
      <c r="C15" s="27"/>
      <c r="D15" s="27"/>
      <c r="E15" s="14"/>
      <c r="F15" s="60"/>
      <c r="G15" s="23"/>
      <c r="H15" s="23"/>
      <c r="I15" s="23"/>
      <c r="J15" s="60"/>
      <c r="K15" s="60"/>
      <c r="L15" s="60"/>
      <c r="M15" s="60"/>
      <c r="N15" s="60"/>
      <c r="O15" s="60"/>
      <c r="P15" s="146"/>
    </row>
    <row r="16" spans="1:16" x14ac:dyDescent="0.2">
      <c r="A16" s="16"/>
      <c r="B16" s="60" t="str">
        <f>Texte!A29</f>
        <v>1. Bitte Nutztierart / Biogasanlage und Hofdüngerart auswählen. Bei Gülle die Verdünnung angeben.</v>
      </c>
      <c r="C16" s="60"/>
      <c r="D16" s="60"/>
      <c r="E16" s="60"/>
      <c r="F16" s="60"/>
      <c r="G16" s="60"/>
      <c r="H16" s="60"/>
      <c r="I16" s="60"/>
      <c r="J16" s="60"/>
      <c r="K16" s="60"/>
      <c r="L16" s="60"/>
      <c r="M16" s="60"/>
      <c r="N16" s="60"/>
      <c r="O16" s="60"/>
      <c r="P16" s="146"/>
    </row>
    <row r="17" spans="1:16" x14ac:dyDescent="0.2">
      <c r="A17" s="16"/>
      <c r="B17" s="60" t="str">
        <f>Texte!A30</f>
        <v>2. Falls eigene Analysenwerte verwendet werden sollen: "Eigene Analyse": "Ja", bei "Nein" wird mit Mittelwerten gerechnet.</v>
      </c>
      <c r="C17" s="60"/>
      <c r="D17" s="60"/>
      <c r="E17" s="60"/>
      <c r="F17" s="60"/>
      <c r="G17" s="60"/>
      <c r="H17" s="60"/>
      <c r="I17" s="60"/>
      <c r="J17" s="60"/>
      <c r="K17" s="60"/>
      <c r="L17" s="60"/>
      <c r="M17" s="60"/>
      <c r="N17" s="60"/>
      <c r="O17" s="60"/>
      <c r="P17" s="146"/>
    </row>
    <row r="18" spans="1:16" x14ac:dyDescent="0.2">
      <c r="A18" s="16"/>
      <c r="B18" s="60" t="str">
        <f>Texte!A31</f>
        <v>3. Optional: Eintrag organische Substanz (C-Eintrag) kompensieren "Ja" oder "Nein". Handelsüblicher Frischkompost dient als Ersatzquelle für organisches Material.</v>
      </c>
      <c r="C18" s="60"/>
      <c r="D18" s="60"/>
      <c r="E18" s="60"/>
      <c r="F18" s="60"/>
      <c r="G18" s="60"/>
      <c r="H18" s="60"/>
      <c r="I18" s="60"/>
      <c r="J18" s="60"/>
      <c r="K18" s="60"/>
      <c r="L18" s="60"/>
      <c r="M18" s="60"/>
      <c r="N18" s="60"/>
      <c r="O18" s="60"/>
      <c r="P18" s="146"/>
    </row>
    <row r="19" spans="1:16" ht="6" customHeight="1" x14ac:dyDescent="0.2">
      <c r="A19" s="16"/>
      <c r="B19" s="60"/>
      <c r="C19" s="60"/>
      <c r="D19" s="60"/>
      <c r="E19" s="60"/>
      <c r="F19" s="60"/>
      <c r="G19" s="60"/>
      <c r="H19" s="60"/>
      <c r="I19" s="60"/>
      <c r="J19" s="60"/>
      <c r="K19" s="60"/>
      <c r="L19" s="60"/>
      <c r="M19" s="60"/>
      <c r="N19" s="60"/>
      <c r="O19" s="60"/>
      <c r="P19" s="146"/>
    </row>
    <row r="20" spans="1:16" s="60" customFormat="1" ht="11.85" customHeight="1" x14ac:dyDescent="0.2">
      <c r="A20" s="16"/>
      <c r="B20" s="61" t="str">
        <f>Texte!A33</f>
        <v>Dateneingabe</v>
      </c>
      <c r="H20" s="62" t="str">
        <f>IF(Formeln_GRUD!Q53=FALSE,Texte!A87,"")</f>
        <v/>
      </c>
      <c r="I20" s="62"/>
      <c r="P20" s="146"/>
    </row>
    <row r="21" spans="1:16" s="60" customFormat="1" x14ac:dyDescent="0.2">
      <c r="A21" s="16"/>
      <c r="B21" s="64"/>
      <c r="C21" s="65"/>
      <c r="D21" s="65"/>
      <c r="E21" s="64"/>
      <c r="F21" s="99" t="str">
        <f>F25</f>
        <v>Verdünnung</v>
      </c>
      <c r="G21" s="100"/>
      <c r="H21" s="67" t="str">
        <f t="shared" ref="H21:O21" si="0">H25</f>
        <v>TS</v>
      </c>
      <c r="I21" s="67" t="str">
        <f>Texte!A97</f>
        <v>Humus äq</v>
      </c>
      <c r="J21" s="67" t="str">
        <f t="shared" si="0"/>
        <v>Nges</v>
      </c>
      <c r="K21" s="67" t="str">
        <f t="shared" si="0"/>
        <v>Nverf</v>
      </c>
      <c r="L21" s="67" t="str">
        <f t="shared" si="0"/>
        <v>P2O5</v>
      </c>
      <c r="M21" s="67" t="str">
        <f t="shared" si="0"/>
        <v>K2O</v>
      </c>
      <c r="N21" s="67" t="str">
        <f t="shared" si="0"/>
        <v>Mg</v>
      </c>
      <c r="O21" s="68" t="str">
        <f t="shared" si="0"/>
        <v>Ca</v>
      </c>
      <c r="P21" s="147"/>
    </row>
    <row r="22" spans="1:16" s="60" customFormat="1" x14ac:dyDescent="0.2">
      <c r="A22" s="16"/>
      <c r="B22" s="74"/>
      <c r="C22" s="75"/>
      <c r="D22" s="75"/>
      <c r="E22" s="74" t="str">
        <f>Texte!A148</f>
        <v xml:space="preserve">Hofdüngeranalyse </v>
      </c>
      <c r="F22" s="208" t="s">
        <v>604</v>
      </c>
      <c r="G22" s="206"/>
      <c r="H22" s="207"/>
      <c r="I22" s="94" t="str">
        <f>IF(Formeln_GRUD!T36=FALSE,"",IF(ISNUMBER(H22),IF(H22&gt;0,Formeln_GRUD!J33,0),""))</f>
        <v/>
      </c>
      <c r="J22" s="209"/>
      <c r="K22" s="96" t="str">
        <f>IF(Formeln_GRUD!T36=FALSE,"",IF(ISNUMBER(J22),IF(J22&gt;0,J22*VLOOKUP(E26,Nverf!A6:I27,6,0)/100,0),""))</f>
        <v/>
      </c>
      <c r="L22" s="210"/>
      <c r="M22" s="209"/>
      <c r="N22" s="209"/>
      <c r="O22" s="207"/>
      <c r="P22" s="148" t="str">
        <f>IF(Formeln_GRUD!$T$36=FALSE,Texte!A82,IF(VLOOKUP(E26,Formeln_GRUD!E55:G74,3,FALSE)=0,Texte!A81,Texte!A82))</f>
        <v>kg / t</v>
      </c>
    </row>
    <row r="23" spans="1:16" s="60" customFormat="1" ht="6" customHeight="1" x14ac:dyDescent="0.2">
      <c r="A23" s="16"/>
      <c r="P23" s="146"/>
    </row>
    <row r="24" spans="1:16" s="60" customFormat="1" x14ac:dyDescent="0.2">
      <c r="A24" s="16"/>
      <c r="B24" s="61" t="str">
        <f>Texte!A34</f>
        <v>Datenauswahl</v>
      </c>
      <c r="E24" s="62" t="str">
        <f>IF(Formeln_GRUD!T36=TRUE,"",IF(AND(E25=E26, E26=E27,E27=E28),"",Texte!$A$136))</f>
        <v/>
      </c>
      <c r="F24" s="196" t="str">
        <f>IF(AND(Formeln_GRUD!$T$36,Formeln_GRUD!Q53)=FALSE,"",IF(AND(VLOOKUP(E26,Formeln_GRUD!E55:G74,3,FALSE)=1,NOT(Formeln_GRUD!Q79=1)),Texte!A169,""))</f>
        <v/>
      </c>
      <c r="J24" s="61"/>
      <c r="P24" s="146"/>
    </row>
    <row r="25" spans="1:16" s="60" customFormat="1" x14ac:dyDescent="0.2">
      <c r="A25" s="14"/>
      <c r="B25" s="64" t="str">
        <f>Texte!A36</f>
        <v>Nutztierart / Biogasanlage</v>
      </c>
      <c r="C25" s="65"/>
      <c r="D25" s="108"/>
      <c r="E25" s="205" t="s">
        <v>79</v>
      </c>
      <c r="F25" s="74" t="str">
        <f>Texte!A168</f>
        <v>Verdünnung</v>
      </c>
      <c r="G25" s="100"/>
      <c r="H25" s="67" t="str">
        <f>Texte!A94</f>
        <v>TS</v>
      </c>
      <c r="I25" s="67" t="str">
        <f>Texte!A97</f>
        <v>Humus äq</v>
      </c>
      <c r="J25" s="67" t="str">
        <f>Texte!A99</f>
        <v>Nges</v>
      </c>
      <c r="K25" s="67" t="str">
        <f>Texte!A100</f>
        <v>Nverf</v>
      </c>
      <c r="L25" s="67" t="str">
        <f>Texte!A101</f>
        <v>P2O5</v>
      </c>
      <c r="M25" s="67" t="str">
        <f>Texte!A102</f>
        <v>K2O</v>
      </c>
      <c r="N25" s="67" t="str">
        <f>Texte!A103</f>
        <v>Mg</v>
      </c>
      <c r="O25" s="68" t="str">
        <f>Texte!A104</f>
        <v>Ca</v>
      </c>
      <c r="P25" s="149"/>
    </row>
    <row r="26" spans="1:16" s="60" customFormat="1" x14ac:dyDescent="0.2">
      <c r="A26" s="14"/>
      <c r="B26" s="69" t="str">
        <f>Texte!A37</f>
        <v>Hofdünger</v>
      </c>
      <c r="D26" s="92"/>
      <c r="E26" s="59" t="s">
        <v>79</v>
      </c>
      <c r="G26" s="97"/>
      <c r="H26" s="70"/>
      <c r="I26" s="70"/>
      <c r="J26" s="70"/>
      <c r="K26" s="70"/>
      <c r="L26" s="70"/>
      <c r="M26" s="70"/>
      <c r="N26" s="70"/>
      <c r="O26" s="71"/>
      <c r="P26" s="150"/>
    </row>
    <row r="27" spans="1:16" s="60" customFormat="1" x14ac:dyDescent="0.2">
      <c r="A27" s="14"/>
      <c r="B27" s="69" t="str">
        <f>Texte!$A$137</f>
        <v>Eigene Analyse</v>
      </c>
      <c r="D27" s="92"/>
      <c r="E27" s="59" t="s">
        <v>79</v>
      </c>
      <c r="F27" s="217"/>
      <c r="G27" s="103" t="str">
        <f>IF(Formeln_GRUD!$T$36=FALSE,"",IF(AND(VLOOKUP(E26,Formeln_GRUD!E55:G74,3,FALSE)=1,NOT(Formeln_GRUD!Q79=1),NOT(ISNUMBER(G22))),Texte!A164,IF(G22=0,Texte!A164,CONCATENATE("1:",G22))))</f>
        <v/>
      </c>
      <c r="H27" s="173" t="str">
        <f ca="1">IF(Formeln_GRUD!$T$36=FALSE,"",IF($E27=Texte!$A140,H22,VLOOKUP('Rechner Calulateur'!H$25,Formeln_GRUD!$C$5:$X$22,VLOOKUP('Rechner Calulateur'!$E$25,Formeln_GRUD!$C$56:$D$78,2,0)+VLOOKUP('Rechner Calulateur'!$E$26,OFFSET(Formeln_GRUD!$E$56:$F$60,VLOOKUP('Rechner Calulateur'!$E$25,Formeln_GRUD!$C$56:$D$78,2,0)-3,,,),2,0),0)*Formeln_GRUD!$S$79))</f>
        <v/>
      </c>
      <c r="I27" s="73" t="str">
        <f ca="1">IF(Formeln_GRUD!$T$36=FALSE,"",IF($E27=Texte!$A140,IF(ISNUMBER(I22),I22,0),VLOOKUP('Rechner Calulateur'!I$25,Formeln_GRUD!$C$5:$X$22,VLOOKUP('Rechner Calulateur'!$E$25,Formeln_GRUD!$C$56:$D$78,2,0)+VLOOKUP('Rechner Calulateur'!$E$26,OFFSET(Formeln_GRUD!$E$56:$F$60,VLOOKUP('Rechner Calulateur'!$E$25,Formeln_GRUD!$C$56:$D$78,2,0)-3,,,),2,0),0)*Formeln_GRUD!$S$79))</f>
        <v/>
      </c>
      <c r="J27" s="73" t="str">
        <f ca="1">IF(Formeln_GRUD!$T$36=FALSE,"",IF($E27=Texte!$A140,J22,VLOOKUP('Rechner Calulateur'!J$25,Formeln_GRUD!$C$5:$X$22,VLOOKUP('Rechner Calulateur'!$E$25,Formeln_GRUD!$C$56:$D$78,2,0)+VLOOKUP('Rechner Calulateur'!$E$26,OFFSET(Formeln_GRUD!$E$56:$F$60,VLOOKUP('Rechner Calulateur'!$E$25,Formeln_GRUD!$C$56:$D$78,2,0)-3,,,),2,0),0)*Formeln_GRUD!$S$79))</f>
        <v/>
      </c>
      <c r="K27" s="73" t="str">
        <f ca="1">IF(Formeln_GRUD!$T$36=FALSE,"",IF($E27=Texte!$A140,IF(ISNUMBER(K22),K22,0),VLOOKUP('Rechner Calulateur'!K$25,Formeln_GRUD!$C$5:$X$22,VLOOKUP('Rechner Calulateur'!$E$25,Formeln_GRUD!$C$56:$D$78,2,0)+VLOOKUP('Rechner Calulateur'!$E$26,OFFSET(Formeln_GRUD!$E$56:$F$60,VLOOKUP('Rechner Calulateur'!$E$25,Formeln_GRUD!$C$56:$D$78,2,0)-3,,,),2,0),0)*Formeln_GRUD!$S$79))</f>
        <v/>
      </c>
      <c r="L27" s="73" t="str">
        <f ca="1">IF(Formeln_GRUD!$T$36=FALSE,"",IF($E27=Texte!$A140,L22,VLOOKUP('Rechner Calulateur'!L$25,Formeln_GRUD!$C$5:$X$22,VLOOKUP('Rechner Calulateur'!$E$25,Formeln_GRUD!$C$56:$D$78,2,0)+VLOOKUP('Rechner Calulateur'!$E$26,OFFSET(Formeln_GRUD!$E$56:$F$60,VLOOKUP('Rechner Calulateur'!$E$25,Formeln_GRUD!$C$56:$D$78,2,0)-3,,,),2,0),0)*Formeln_GRUD!$S$79))</f>
        <v/>
      </c>
      <c r="M27" s="73" t="str">
        <f ca="1">IF(Formeln_GRUD!$T$36=FALSE,"",IF($E27=Texte!$A140,M22,VLOOKUP('Rechner Calulateur'!M$25,Formeln_GRUD!$C$5:$X$22,VLOOKUP('Rechner Calulateur'!$E$25,Formeln_GRUD!$C$56:$D$78,2,0)+VLOOKUP('Rechner Calulateur'!$E$26,OFFSET(Formeln_GRUD!$E$56:$F$60,VLOOKUP('Rechner Calulateur'!$E$25,Formeln_GRUD!$C$56:$D$78,2,0)-3,,,),2,0),0)*Formeln_GRUD!$S$79))</f>
        <v/>
      </c>
      <c r="N27" s="73" t="str">
        <f ca="1">IF(Formeln_GRUD!$T$36=FALSE,"",IF($E27=Texte!$A140,N22,VLOOKUP('Rechner Calulateur'!N$25,Formeln_GRUD!$C$5:$X$22,VLOOKUP('Rechner Calulateur'!$E$25,Formeln_GRUD!$C$56:$D$78,2,0)+VLOOKUP('Rechner Calulateur'!$E$26,OFFSET(Formeln_GRUD!$E$56:$F$60,VLOOKUP('Rechner Calulateur'!$E$25,Formeln_GRUD!$C$56:$D$78,2,0)-3,,,),2,0),0)*Formeln_GRUD!$S$79))</f>
        <v/>
      </c>
      <c r="O27" s="173" t="str">
        <f ca="1">IF(Formeln_GRUD!$T$36=FALSE,"",IF($E27=Texte!$A140,O22,VLOOKUP('Rechner Calulateur'!O$25,Formeln_GRUD!$C$5:$X$22,VLOOKUP('Rechner Calulateur'!$E$25,Formeln_GRUD!$C$56:$D$78,2,0)+VLOOKUP('Rechner Calulateur'!$E$26,OFFSET(Formeln_GRUD!$E$56:$F$60,VLOOKUP('Rechner Calulateur'!$E$25,Formeln_GRUD!$C$56:$D$78,2,0)-3,,,),2,0),0)*Formeln_GRUD!$S$79))</f>
        <v/>
      </c>
      <c r="P27" s="151" t="str">
        <f>P22</f>
        <v>kg / t</v>
      </c>
    </row>
    <row r="28" spans="1:16" s="60" customFormat="1" x14ac:dyDescent="0.2">
      <c r="A28" s="14"/>
      <c r="B28" s="74" t="str">
        <f>Texte!A50</f>
        <v>Eintrag organischer Substanz kompensieren</v>
      </c>
      <c r="C28" s="75"/>
      <c r="D28" s="76"/>
      <c r="E28" s="59" t="s">
        <v>79</v>
      </c>
      <c r="F28" s="99"/>
      <c r="G28" s="100"/>
      <c r="H28" s="100"/>
      <c r="I28" s="211"/>
      <c r="J28" s="212"/>
      <c r="K28" s="212"/>
      <c r="L28" s="212"/>
      <c r="M28" s="212"/>
      <c r="N28" s="212"/>
      <c r="O28" s="213"/>
      <c r="P28" s="152"/>
    </row>
    <row r="29" spans="1:16" s="60" customFormat="1" ht="6" customHeight="1" x14ac:dyDescent="0.2">
      <c r="A29" s="14"/>
      <c r="B29" s="60" t="str">
        <f>Texte!A47</f>
        <v/>
      </c>
      <c r="H29" s="70"/>
      <c r="I29" s="70"/>
      <c r="J29" s="70"/>
      <c r="K29" s="70"/>
      <c r="L29" s="70"/>
      <c r="M29" s="70"/>
      <c r="N29" s="70"/>
      <c r="O29" s="70"/>
      <c r="P29" s="153"/>
    </row>
    <row r="30" spans="1:16" s="60" customFormat="1" x14ac:dyDescent="0.2">
      <c r="A30" s="14"/>
      <c r="B30" s="61" t="str">
        <f>Texte!A52</f>
        <v>Nährstoffersatzrechnung</v>
      </c>
      <c r="H30" s="77"/>
      <c r="I30" s="77"/>
      <c r="J30" s="77"/>
      <c r="K30" s="77"/>
      <c r="L30" s="77"/>
      <c r="M30" s="77"/>
      <c r="N30" s="77"/>
      <c r="O30" s="77"/>
      <c r="P30" s="154"/>
    </row>
    <row r="31" spans="1:16" s="60" customFormat="1" x14ac:dyDescent="0.2">
      <c r="A31" s="14"/>
      <c r="B31" s="78" t="str">
        <f>Texte!$A$53</f>
        <v>Handelsdünger</v>
      </c>
      <c r="C31" s="100"/>
      <c r="D31" s="244"/>
      <c r="E31" s="80" t="str">
        <f>Formeln_GRUD!D84</f>
        <v>Juli 2023</v>
      </c>
      <c r="F31" s="81" t="str">
        <f>Texte!$A$84</f>
        <v>Menge</v>
      </c>
      <c r="G31" s="82" t="str">
        <f>Texte!$A$85</f>
        <v>Preis</v>
      </c>
      <c r="H31" s="81" t="str">
        <f>Texte!$A$86</f>
        <v>Nährstoffabgleich</v>
      </c>
      <c r="I31" s="83"/>
      <c r="J31" s="84"/>
      <c r="K31" s="84"/>
      <c r="L31" s="84"/>
      <c r="M31" s="84"/>
      <c r="N31" s="84"/>
      <c r="O31" s="85"/>
      <c r="P31" s="155"/>
    </row>
    <row r="32" spans="1:16" s="60" customFormat="1" x14ac:dyDescent="0.2">
      <c r="A32" s="14"/>
      <c r="B32" s="248" t="str">
        <f>CONCATENATE("(",Texte!A196," ",Formeln_GRUD!C82,")")</f>
        <v>(Preistabellle: Landor)</v>
      </c>
      <c r="D32" s="86" t="str">
        <f>Texte!$A$58</f>
        <v>Bezug</v>
      </c>
      <c r="E32" s="87" t="str">
        <f>Texte!A105</f>
        <v>CHF/ kg</v>
      </c>
      <c r="F32" s="88" t="str">
        <f>Texte!$A$90</f>
        <v>kg / t</v>
      </c>
      <c r="G32" s="89" t="str">
        <f>Texte!A107</f>
        <v>CHF / t</v>
      </c>
      <c r="H32" s="90"/>
      <c r="I32" s="77"/>
      <c r="J32" s="77"/>
      <c r="K32" s="77"/>
      <c r="L32" s="77"/>
      <c r="M32" s="77"/>
      <c r="N32" s="77"/>
      <c r="O32" s="91"/>
      <c r="P32" s="156"/>
    </row>
    <row r="33" spans="1:17" s="60" customFormat="1" x14ac:dyDescent="0.2">
      <c r="A33" s="14"/>
      <c r="B33" s="69" t="str">
        <f>Texte!A75</f>
        <v>Ammonsalpeter 27% + Mg</v>
      </c>
      <c r="C33" s="92"/>
      <c r="D33" s="93" t="str">
        <f>K25</f>
        <v>Nverf</v>
      </c>
      <c r="E33" s="93">
        <f>Formeln_GRUD!F88/100</f>
        <v>1.414814814814815</v>
      </c>
      <c r="F33" s="90" t="str">
        <f>J33</f>
        <v/>
      </c>
      <c r="G33" s="93" t="str">
        <f>IF(Formeln_GRUD!$T$36=FALSE, "",E33*F33)</f>
        <v/>
      </c>
      <c r="H33" s="90"/>
      <c r="I33" s="77"/>
      <c r="J33" s="77" t="str">
        <f>IF(Formeln_GRUD!T36=FALSE, "",K33)</f>
        <v/>
      </c>
      <c r="K33" s="77" t="str">
        <f>IF(Formeln_GRUD!T36=FALSE,"",IF(E28=Texte!$A$141,K27,IF((K27-K36)&lt;0,0,K27-K36)))</f>
        <v/>
      </c>
      <c r="L33" s="77"/>
      <c r="M33" s="77"/>
      <c r="N33" s="77" t="str">
        <f>IF(Formeln_GRUD!T36=FALSE,"",K33/27*2.5)</f>
        <v/>
      </c>
      <c r="O33" s="91" t="str">
        <f>IF(Formeln_GRUD!T36=FALSE, "",K33/27*5)</f>
        <v/>
      </c>
      <c r="P33" s="156" t="str">
        <f>Texte!$A$82</f>
        <v>kg / t</v>
      </c>
    </row>
    <row r="34" spans="1:17" x14ac:dyDescent="0.2">
      <c r="B34" s="69" t="str">
        <f>Texte!A76</f>
        <v>Granuphos 18</v>
      </c>
      <c r="C34" s="92"/>
      <c r="D34" s="93" t="str">
        <f>L25</f>
        <v>P2O5</v>
      </c>
      <c r="E34" s="93">
        <f>Formeln_GRUD!F91/100</f>
        <v>3.1666666666666661</v>
      </c>
      <c r="F34" s="90" t="str">
        <f>L34</f>
        <v/>
      </c>
      <c r="G34" s="93" t="str">
        <f>IF(Formeln_GRUD!$T$36=FALSE, "",E34*F34)</f>
        <v/>
      </c>
      <c r="H34" s="90"/>
      <c r="I34" s="77"/>
      <c r="J34" s="77"/>
      <c r="K34" s="77"/>
      <c r="L34" s="77" t="str">
        <f>IF(Formeln_GRUD!T36=FALSE,"",IF(E28=Texte!$A$141,L27,IF((L27-L36)&lt;0,0,L27-L36)))</f>
        <v/>
      </c>
      <c r="M34" s="77"/>
      <c r="N34" s="77" t="str">
        <f>IF(Formeln_GRUD!T36=FALSE, "",L34/18*4.8)</f>
        <v/>
      </c>
      <c r="O34" s="91" t="str">
        <f>IF(Formeln_GRUD!T36=FALSE, "",L34/18*26)</f>
        <v/>
      </c>
      <c r="P34" s="156" t="str">
        <f>Texte!$A$82</f>
        <v>kg / t</v>
      </c>
    </row>
    <row r="35" spans="1:17" ht="11.25" customHeight="1" x14ac:dyDescent="0.2">
      <c r="B35" s="69" t="str">
        <f>Texte!A77</f>
        <v>Kali 60%</v>
      </c>
      <c r="C35" s="92"/>
      <c r="D35" s="93" t="str">
        <f>M25</f>
        <v>K2O</v>
      </c>
      <c r="E35" s="93">
        <f>Formeln_GRUD!F108/100</f>
        <v>1.6747999999999998</v>
      </c>
      <c r="F35" s="90" t="str">
        <f>M35</f>
        <v/>
      </c>
      <c r="G35" s="93" t="str">
        <f>IF(Formeln_GRUD!$T$36=FALSE, "",E35*F35)</f>
        <v/>
      </c>
      <c r="H35" s="90"/>
      <c r="I35" s="77"/>
      <c r="J35" s="77"/>
      <c r="K35" s="77"/>
      <c r="L35" s="77"/>
      <c r="M35" s="77" t="str">
        <f>IF(Formeln_GRUD!T36=FALSE,"",IF(E28=Texte!$A$141,M27,IF((M27-M36)&lt;0,0,M27-M36)))</f>
        <v/>
      </c>
      <c r="N35" s="77"/>
      <c r="O35" s="91"/>
      <c r="P35" s="156" t="str">
        <f>Texte!$A$82</f>
        <v>kg / t</v>
      </c>
    </row>
    <row r="36" spans="1:17" x14ac:dyDescent="0.2">
      <c r="B36" s="74" t="str">
        <f>Texte!A78</f>
        <v>Grüngut Kompost</v>
      </c>
      <c r="C36" s="76"/>
      <c r="D36" s="94" t="str">
        <f>I25</f>
        <v>Humus äq</v>
      </c>
      <c r="E36" s="94">
        <f>Kompost!$C$13</f>
        <v>1.2993762993762994</v>
      </c>
      <c r="F36" s="95" t="str">
        <f>I36</f>
        <v/>
      </c>
      <c r="G36" s="94" t="str">
        <f>IF(Formeln_GRUD!$T$36=FALSE,"",IF(E28=Texte!$A$141,"",E36*F36))</f>
        <v/>
      </c>
      <c r="H36" s="95"/>
      <c r="I36" s="96" t="str">
        <f>IF(Formeln_GRUD!T36=FALSE,"",IF(E28=Texte!$A$141,"",I27))</f>
        <v/>
      </c>
      <c r="J36" s="96" t="str">
        <f>IF(Formeln_GRUD!$T$36=FALSE,"",IF($E$28=Texte!$A$141,"",$I$27/VLOOKUP($I$25,Formeln_GRUD!$C$1:$Z$22,24,0)*VLOOKUP(J25,Formeln_GRUD!$C$1:$Z$22,24,0)))</f>
        <v/>
      </c>
      <c r="K36" s="96" t="str">
        <f>IF(Formeln_GRUD!$T$36=FALSE,"",IF($E$28=Texte!$A$141,"",$I$27/VLOOKUP($I$25,Formeln_GRUD!$C$1:$Z$22,24,0)*VLOOKUP(K25,Formeln_GRUD!$C$1:$Z$22,24,0)))</f>
        <v/>
      </c>
      <c r="L36" s="96" t="str">
        <f>IF(Formeln_GRUD!$T$36=FALSE,"",IF($E$28=Texte!$A$141,"",$I$27/VLOOKUP($I$25,Formeln_GRUD!$C$1:$Z$22,24,0)*VLOOKUP(L25,Formeln_GRUD!$C$1:$Z$22,24,0)))</f>
        <v/>
      </c>
      <c r="M36" s="96" t="str">
        <f>IF(Formeln_GRUD!$T$36=FALSE,"",IF($E$28=Texte!$A$141,"",$I$27/VLOOKUP($I$25,Formeln_GRUD!$C$1:$Z$22,24,0)*VLOOKUP(M25,Formeln_GRUD!$C$1:$Z$22,24,0)))</f>
        <v/>
      </c>
      <c r="N36" s="96" t="str">
        <f>IF(Formeln_GRUD!$T$36=FALSE,"",IF($E$28=Texte!$A$141,"",$I$27/VLOOKUP($I$25,Formeln_GRUD!$C$1:$Z$22,24,0)*VLOOKUP(N25,Formeln_GRUD!$C$1:$Z$22,24,0)))</f>
        <v/>
      </c>
      <c r="O36" s="96" t="str">
        <f>IF(Formeln_GRUD!$T$36=FALSE,"",IF($E$28=Texte!$A$141,"",$I$27/VLOOKUP($I$25,Formeln_GRUD!$C$1:$Z$22,24,0)*VLOOKUP(O25,Formeln_GRUD!$C$1:$Z$22,24,0)))</f>
        <v/>
      </c>
      <c r="P36" s="156" t="str">
        <f>Texte!$A$82</f>
        <v>kg / t</v>
      </c>
    </row>
    <row r="37" spans="1:17" x14ac:dyDescent="0.2">
      <c r="B37" s="69"/>
      <c r="C37" s="97"/>
      <c r="D37" s="97"/>
      <c r="E37" s="60"/>
      <c r="F37" s="98" t="str">
        <f>Texte!A92</f>
        <v>Summe</v>
      </c>
      <c r="G37" s="84" t="str">
        <f>IF(Formeln_GRUD!T36=FALSE,"",SUM(G33:G36))</f>
        <v/>
      </c>
      <c r="H37" s="84"/>
      <c r="I37" s="84" t="str">
        <f>IF(Formeln_GRUD!T36=FALSE,"",IF(E28=Texte!$A$141,"",I36))</f>
        <v/>
      </c>
      <c r="J37" s="84" t="str">
        <f>IF(Formeln_GRUD!T36=FALSE,"",SUM(J33:J36))</f>
        <v/>
      </c>
      <c r="K37" s="84" t="str">
        <f>IF(Formeln_GRUD!T36=FALSE,"",SUM(K33:K36))</f>
        <v/>
      </c>
      <c r="L37" s="84" t="str">
        <f>IF(Formeln_GRUD!T36=FALSE,"",SUM(L33:L36))</f>
        <v/>
      </c>
      <c r="M37" s="84" t="str">
        <f>IF(Formeln_GRUD!T36=FALSE,"",SUM(M33:M36))</f>
        <v/>
      </c>
      <c r="N37" s="84" t="str">
        <f>IF(Formeln_GRUD!T36=FALSE,"",SUM(N33:N36))</f>
        <v/>
      </c>
      <c r="O37" s="85" t="str">
        <f>IF(Formeln_GRUD!T36=FALSE,"",SUM(O33:O36))</f>
        <v/>
      </c>
      <c r="P37" s="159" t="str">
        <f>Texte!$A$82</f>
        <v>kg / t</v>
      </c>
    </row>
    <row r="38" spans="1:17" ht="6" customHeight="1" x14ac:dyDescent="0.2">
      <c r="A38" s="27"/>
      <c r="B38" s="69"/>
      <c r="C38" s="97"/>
      <c r="D38" s="97"/>
      <c r="E38" s="60"/>
      <c r="F38" s="97"/>
      <c r="G38" s="72"/>
      <c r="H38" s="77"/>
      <c r="I38" s="77"/>
      <c r="J38" s="77"/>
      <c r="K38" s="77"/>
      <c r="L38" s="77"/>
      <c r="M38" s="77"/>
      <c r="N38" s="77"/>
      <c r="O38" s="77"/>
      <c r="P38" s="154"/>
    </row>
    <row r="39" spans="1:17" x14ac:dyDescent="0.2">
      <c r="B39" s="99" t="str">
        <f>Texte!A61</f>
        <v>Nährstoffbilanz</v>
      </c>
      <c r="C39" s="79"/>
      <c r="D39" s="79"/>
      <c r="E39" s="100"/>
      <c r="F39" s="99" t="str">
        <f>Texte!A93</f>
        <v>Differenz</v>
      </c>
      <c r="G39" s="88"/>
      <c r="H39" s="158"/>
      <c r="I39" s="84" t="str">
        <f>IF(Formeln_GRUD!$T$36=FALSE, "",IF($E28=Texte!$A$141,"",I37-I27))</f>
        <v/>
      </c>
      <c r="J39" s="84" t="str">
        <f>IF(Formeln_GRUD!$T$36=FALSE, "",IF($E28=Texte!$A$141,"",J37-J27))</f>
        <v/>
      </c>
      <c r="K39" s="84" t="str">
        <f>IF(Formeln_GRUD!$T$36=FALSE, "",IF($E28=Texte!$A$141,"",K37-K27))</f>
        <v/>
      </c>
      <c r="L39" s="84" t="str">
        <f>IF(Formeln_GRUD!$T$36=FALSE, "",IF($E28=Texte!$A$141,"",L37-L27))</f>
        <v/>
      </c>
      <c r="M39" s="84" t="str">
        <f>IF(Formeln_GRUD!$T$36=FALSE, "",IF($E28=Texte!$A$141,"",M37-M27))</f>
        <v/>
      </c>
      <c r="N39" s="84" t="str">
        <f>IF(Formeln_GRUD!$T$36=FALSE, "",IF($E28=Texte!$A$141,"",N37-N27))</f>
        <v/>
      </c>
      <c r="O39" s="84" t="str">
        <f>IF(Formeln_GRUD!$T$36=FALSE, "",IF($E28=Texte!$A$141,"",O37-O27))</f>
        <v/>
      </c>
      <c r="P39" s="159" t="str">
        <f>Texte!$A$82</f>
        <v>kg / t</v>
      </c>
      <c r="Q39" s="77"/>
    </row>
    <row r="40" spans="1:17" ht="6" customHeight="1" x14ac:dyDescent="0.2">
      <c r="B40" s="60" t="str">
        <f>Texte!A63</f>
        <v/>
      </c>
      <c r="C40" s="60"/>
      <c r="D40" s="60"/>
      <c r="E40" s="60"/>
      <c r="F40" s="60"/>
      <c r="G40" s="60"/>
      <c r="H40" s="60"/>
      <c r="I40" s="60"/>
      <c r="J40" s="60"/>
      <c r="K40" s="60"/>
      <c r="L40" s="60"/>
      <c r="M40" s="60"/>
      <c r="N40" s="60"/>
      <c r="O40" s="60"/>
      <c r="P40" s="154"/>
    </row>
    <row r="41" spans="1:17" x14ac:dyDescent="0.2">
      <c r="B41" s="78" t="str">
        <f>Texte!A193</f>
        <v>Wert der ausgebrachten Nährstoffe</v>
      </c>
      <c r="C41" s="79"/>
      <c r="D41" s="79"/>
      <c r="E41" s="101"/>
      <c r="F41" s="79" t="str">
        <f>Texte!A106</f>
        <v>Total</v>
      </c>
      <c r="G41" s="102" t="str">
        <f>IF(Formeln_GRUD!T36=FALSE,"",SUM(G33:G35,G36))</f>
        <v/>
      </c>
      <c r="H41" s="78" t="str">
        <f>IF(Formeln_GRUD!$T$36=FALSE,Texte!A89,IF(VLOOKUP(E26,Formeln_GRUD!E55:G74,3,FALSE)=0,Texte!A88,Texte!A89))</f>
        <v>CHF pro  t</v>
      </c>
      <c r="I41" s="79"/>
      <c r="J41" s="100"/>
      <c r="K41" s="100"/>
      <c r="L41" s="100"/>
      <c r="M41" s="100"/>
      <c r="N41" s="100"/>
      <c r="O41" s="88" t="str">
        <f>Texte!A194</f>
        <v>exkl. Lagerung, Transport und Ausbringung.</v>
      </c>
      <c r="P41" s="146"/>
    </row>
    <row r="42" spans="1:17" ht="6" customHeight="1" x14ac:dyDescent="0.2">
      <c r="C42" s="60"/>
      <c r="D42" s="60"/>
      <c r="E42" s="60"/>
      <c r="F42" s="60"/>
      <c r="G42" s="60"/>
      <c r="H42" s="60"/>
      <c r="I42" s="60"/>
      <c r="J42" s="60"/>
      <c r="K42" s="60"/>
      <c r="L42" s="60"/>
      <c r="M42" s="60"/>
      <c r="N42" s="60"/>
      <c r="O42" s="60"/>
      <c r="P42" s="146"/>
    </row>
    <row r="43" spans="1:17" ht="10.15" customHeight="1" x14ac:dyDescent="0.2">
      <c r="B43" s="255" t="str">
        <f>Texte!A65</f>
        <v>Bemerkungen</v>
      </c>
      <c r="C43" s="60"/>
      <c r="D43" s="60"/>
      <c r="E43" s="60"/>
      <c r="F43" s="60"/>
      <c r="G43" s="60"/>
      <c r="H43" s="60"/>
      <c r="I43" s="60"/>
      <c r="J43" s="60"/>
      <c r="K43" s="60"/>
      <c r="L43" s="60"/>
      <c r="M43" s="60"/>
      <c r="N43" s="60"/>
      <c r="O43" s="60"/>
      <c r="P43" s="146"/>
    </row>
    <row r="44" spans="1:17" ht="10.15" customHeight="1" x14ac:dyDescent="0.2">
      <c r="B44" s="104" t="str">
        <f>Texte!A66</f>
        <v>Auswahl und Mittelwerte nach GRUD 17 Teil 4: "Eigenschaften und Anwendung von Düngern", die Werte zu Biogasgülle und -mist stammen von der Genossenschaft Ökostrom Schweiz.</v>
      </c>
      <c r="C44" s="60"/>
      <c r="D44" s="60"/>
      <c r="E44" s="60"/>
      <c r="F44" s="60"/>
      <c r="G44" s="60"/>
      <c r="H44" s="60"/>
      <c r="I44" s="60"/>
      <c r="J44" s="60"/>
      <c r="K44" s="60"/>
      <c r="L44" s="60"/>
      <c r="M44" s="60"/>
      <c r="N44" s="60"/>
      <c r="O44" s="60"/>
      <c r="P44" s="146"/>
    </row>
    <row r="45" spans="1:17" ht="10.15" customHeight="1" x14ac:dyDescent="0.2">
      <c r="B45" s="104" t="str">
        <f>Texte!A67</f>
        <v>Bei Gülle wird mit einer Dichte von 1 t/m3 gerechnet, die Nährstoffwerte in kg/m3 entsprechen kg/t. Bei Mist müssen die Werte in kg/t eingegeben werden.</v>
      </c>
      <c r="C45" s="60"/>
      <c r="D45" s="60"/>
      <c r="E45" s="60"/>
      <c r="F45" s="60"/>
      <c r="G45" s="60"/>
      <c r="H45" s="60"/>
      <c r="I45" s="60"/>
      <c r="J45" s="60"/>
      <c r="K45" s="60"/>
      <c r="L45" s="60"/>
      <c r="M45" s="60"/>
      <c r="N45" s="60"/>
      <c r="O45" s="60"/>
      <c r="P45" s="146"/>
    </row>
    <row r="46" spans="1:17" ht="10.15" customHeight="1" x14ac:dyDescent="0.2">
      <c r="B46" s="104" t="str">
        <f>Texte!A68</f>
        <v>Die Nährstoffbilanz ist nach Nverf, P2O5, K2O ausbalanciert. Für die anderen Nährstoffe gibt sie die Differenz zwischen Handelsdüngern und dem Hofdünger an.</v>
      </c>
      <c r="C46" s="60"/>
      <c r="D46" s="60"/>
      <c r="E46" s="60"/>
      <c r="F46" s="60"/>
      <c r="G46" s="60"/>
      <c r="H46" s="60"/>
      <c r="I46" s="60"/>
      <c r="J46" s="60"/>
      <c r="K46" s="60"/>
      <c r="L46" s="60"/>
      <c r="M46" s="60"/>
      <c r="N46" s="60"/>
      <c r="O46" s="60"/>
      <c r="P46" s="146"/>
      <c r="Q46" s="256" t="s">
        <v>814</v>
      </c>
    </row>
    <row r="47" spans="1:17" ht="10.15" customHeight="1" x14ac:dyDescent="0.2">
      <c r="B47" s="104" t="str">
        <f>Texte!A69</f>
        <v>Je nach Hofdünger unterscheidet sich der langfristige Eintrag organischer Substanz. Es werden die Humusäquivalente nach VDLUFA*-Standpunkt 2014 verglichen.</v>
      </c>
      <c r="C47" s="60"/>
      <c r="D47" s="60"/>
      <c r="E47" s="60"/>
      <c r="F47" s="60"/>
      <c r="G47" s="60"/>
      <c r="H47" s="60"/>
      <c r="I47" s="60"/>
      <c r="J47" s="60"/>
      <c r="K47" s="60"/>
      <c r="N47" s="60"/>
      <c r="O47" s="60"/>
      <c r="P47" s="146"/>
      <c r="Q47" s="256" t="s">
        <v>813</v>
      </c>
    </row>
    <row r="48" spans="1:17" s="60" customFormat="1" ht="10.15" customHeight="1" x14ac:dyDescent="0.2">
      <c r="A48" s="14"/>
      <c r="B48" s="104" t="str">
        <f>Texte!A190</f>
        <v xml:space="preserve">Es wird der monetäre Wert der innerhalb von drei Jahren verfügbaren Nährstoffen ausgebrachter Hofdünger anhand aktuellen Handelsdüngerpreisen errechnet. </v>
      </c>
      <c r="C48" s="15"/>
      <c r="D48" s="15"/>
      <c r="E48" s="15"/>
      <c r="F48" s="15"/>
      <c r="G48" s="15"/>
      <c r="H48" s="15"/>
      <c r="I48" s="15"/>
      <c r="J48" s="15"/>
      <c r="K48" s="15"/>
      <c r="M48" s="15"/>
      <c r="N48" s="15"/>
      <c r="O48" s="15"/>
      <c r="P48" s="143"/>
    </row>
    <row r="49" spans="1:16" s="60" customFormat="1" ht="10.15" customHeight="1" x14ac:dyDescent="0.2">
      <c r="A49" s="14"/>
      <c r="B49" s="104" t="str">
        <f>Texte!A191</f>
        <v>Die Kosten der Lagerung, Überführung und Ausbringung sind nicht miteinbezogen. Auf die regionale Situation sowie marktspezifischen Faktoren wie Angebot und Nachfrage kann nicht eingegangen werden.</v>
      </c>
      <c r="C49" s="15"/>
      <c r="D49" s="15"/>
      <c r="E49" s="15"/>
      <c r="F49" s="15"/>
      <c r="G49" s="15"/>
      <c r="H49" s="15"/>
      <c r="I49" s="15"/>
      <c r="J49" s="15"/>
      <c r="K49" s="15"/>
      <c r="L49" s="15"/>
      <c r="M49" s="15"/>
      <c r="N49" s="15"/>
      <c r="O49" s="15"/>
      <c r="P49" s="143"/>
    </row>
    <row r="50" spans="1:16" s="60" customFormat="1" x14ac:dyDescent="0.2">
      <c r="A50" s="14"/>
      <c r="B50" s="104"/>
      <c r="C50" s="15"/>
      <c r="D50" s="15"/>
      <c r="E50" s="15"/>
      <c r="F50" s="15"/>
      <c r="G50" s="15"/>
      <c r="H50" s="15"/>
      <c r="I50" s="15"/>
      <c r="J50" s="15"/>
      <c r="K50" s="15"/>
      <c r="L50" s="15"/>
      <c r="M50" s="15"/>
      <c r="N50" s="15"/>
      <c r="O50" s="15"/>
      <c r="P50" s="143"/>
    </row>
    <row r="51" spans="1:16" s="60" customFormat="1" x14ac:dyDescent="0.2">
      <c r="A51" s="16"/>
      <c r="B51" s="15"/>
      <c r="C51" s="15"/>
      <c r="D51" s="15"/>
      <c r="E51" s="16"/>
      <c r="F51" s="16"/>
      <c r="G51" s="16"/>
      <c r="H51" s="16"/>
      <c r="I51" s="16"/>
      <c r="J51" s="141" t="str">
        <f>J2</f>
        <v>Hofdüngerwert-Rechner</v>
      </c>
      <c r="L51" s="25"/>
      <c r="M51" s="19"/>
      <c r="N51" s="19"/>
      <c r="O51" s="19"/>
      <c r="P51" s="144"/>
    </row>
    <row r="52" spans="1:16" s="60" customFormat="1" x14ac:dyDescent="0.2">
      <c r="A52" s="16"/>
      <c r="B52" s="15"/>
      <c r="C52" s="15"/>
      <c r="D52" s="15"/>
      <c r="E52" s="16"/>
      <c r="F52" s="16"/>
      <c r="G52" s="16"/>
      <c r="H52" s="16"/>
      <c r="I52" s="16"/>
      <c r="J52" s="169" t="str">
        <f>J3</f>
        <v>Sprache:</v>
      </c>
      <c r="K52" s="214" t="str">
        <f>K3</f>
        <v>Deutsch</v>
      </c>
      <c r="L52" s="20"/>
      <c r="M52" s="20"/>
      <c r="N52" s="20"/>
      <c r="P52" s="142" t="str">
        <f ca="1">P3</f>
        <v>Version: 1.1, Juli 2023</v>
      </c>
    </row>
    <row r="53" spans="1:16" s="60" customFormat="1" ht="12.75" thickBot="1" x14ac:dyDescent="0.25">
      <c r="A53" s="16"/>
      <c r="B53" s="21"/>
      <c r="C53" s="21"/>
      <c r="D53" s="21"/>
      <c r="E53" s="21"/>
      <c r="F53" s="21"/>
      <c r="G53" s="21"/>
      <c r="H53" s="21"/>
      <c r="I53" s="21"/>
      <c r="J53" s="21"/>
      <c r="K53" s="22"/>
      <c r="L53" s="22"/>
      <c r="M53" s="22"/>
      <c r="N53" s="22"/>
      <c r="O53" s="22"/>
      <c r="P53" s="145"/>
    </row>
    <row r="54" spans="1:16" s="60" customFormat="1" ht="6" customHeight="1" x14ac:dyDescent="0.2">
      <c r="A54" s="16"/>
      <c r="B54" s="17"/>
      <c r="C54" s="17"/>
      <c r="D54" s="17"/>
      <c r="E54" s="17"/>
      <c r="F54" s="23"/>
      <c r="G54" s="23"/>
      <c r="H54" s="23"/>
      <c r="I54" s="23"/>
      <c r="J54" s="18"/>
      <c r="K54" s="18"/>
      <c r="L54" s="18"/>
      <c r="M54" s="16"/>
      <c r="N54" s="16"/>
      <c r="O54" s="105"/>
      <c r="P54" s="146"/>
    </row>
    <row r="55" spans="1:16" s="60" customFormat="1" x14ac:dyDescent="0.2">
      <c r="A55" s="16"/>
      <c r="B55" s="61" t="str">
        <f>B6</f>
        <v>Berechnung des monetären Wertes der verfügbaren Nährstoffe von ausgebrachtem Hofdünger anhand aktuellen Handelsdüngerpreisen</v>
      </c>
      <c r="C55" s="17"/>
      <c r="D55" s="17"/>
      <c r="E55" s="17"/>
      <c r="F55" s="23"/>
      <c r="G55" s="23"/>
      <c r="H55" s="23"/>
      <c r="I55" s="23"/>
      <c r="J55" s="18"/>
      <c r="K55" s="18"/>
      <c r="L55" s="18"/>
      <c r="M55" s="16"/>
      <c r="N55" s="16"/>
      <c r="O55" s="105"/>
      <c r="P55" s="146"/>
    </row>
    <row r="56" spans="1:16" s="60" customFormat="1" ht="6" customHeight="1" x14ac:dyDescent="0.2">
      <c r="A56" s="16"/>
      <c r="B56" s="61"/>
      <c r="C56" s="17"/>
      <c r="D56" s="17"/>
      <c r="E56" s="17"/>
      <c r="F56" s="23"/>
      <c r="G56" s="23"/>
      <c r="H56" s="23"/>
      <c r="I56" s="23"/>
      <c r="J56" s="18"/>
      <c r="K56" s="18"/>
      <c r="L56" s="18"/>
      <c r="M56" s="16"/>
      <c r="N56" s="16"/>
      <c r="O56" s="105"/>
      <c r="P56" s="146"/>
    </row>
    <row r="57" spans="1:16" s="60" customFormat="1" x14ac:dyDescent="0.2">
      <c r="A57" s="14"/>
      <c r="B57" s="61" t="str">
        <f>Texte!A170</f>
        <v>Anhang: Einbezug emisssionsmindernden Ausbringungsverfahren bei Gülle</v>
      </c>
      <c r="P57" s="146"/>
    </row>
    <row r="58" spans="1:16" s="60" customFormat="1" x14ac:dyDescent="0.2">
      <c r="A58" s="14"/>
      <c r="B58" s="60" t="str">
        <f>Texte!A171</f>
        <v>Die Berechnung des Nährstoffwertes von Stickstoff ausgebrachter Hofdünger auf der Basis der Suisse-Bilanz und GRUD 17 geht noch von einer Düngung mit Breitverteiler aus.</v>
      </c>
      <c r="P58" s="146"/>
    </row>
    <row r="59" spans="1:16" s="60" customFormat="1" x14ac:dyDescent="0.2">
      <c r="A59" s="14"/>
      <c r="B59" s="60" t="str">
        <f>Texte!A172</f>
        <v>Mit dem Einsatz von emissionsmindernden Ausbringungsverfahren verringern sich die Ammoniakverluste, entsprechend wird mehr pflanzenverfügbares Ammonium ausgebracht.</v>
      </c>
      <c r="P59" s="146"/>
    </row>
    <row r="60" spans="1:16" s="60" customFormat="1" x14ac:dyDescent="0.2">
      <c r="A60" s="14"/>
      <c r="B60" s="60" t="str">
        <f>Texte!A173</f>
        <v>Damit erhöht sich auch der Wert der ausgebrachten Gülle.</v>
      </c>
      <c r="P60" s="146"/>
    </row>
    <row r="61" spans="1:16" s="60" customFormat="1" x14ac:dyDescent="0.2">
      <c r="A61" s="14"/>
      <c r="B61" s="60" t="str">
        <f>Texte!A175</f>
        <v/>
      </c>
      <c r="P61" s="146"/>
    </row>
    <row r="62" spans="1:16" s="60" customFormat="1" x14ac:dyDescent="0.2">
      <c r="A62" s="14"/>
      <c r="B62" s="61" t="str">
        <f>Texte!A176</f>
        <v>Werterhöhung beim Einsatz emissionmindernden Ausbringverfahren</v>
      </c>
      <c r="P62" s="146"/>
    </row>
    <row r="63" spans="1:16" s="60" customFormat="1" x14ac:dyDescent="0.2">
      <c r="A63" s="14"/>
      <c r="B63" s="62" t="str">
        <f>IF(Formeln_GRUD!$T$36=FALSE,E24,IF(VLOOKUP(E26,Formeln_GRUD!E55:G74,3,FALSE)=0,"",Texte!A179))</f>
        <v/>
      </c>
      <c r="P63" s="146"/>
    </row>
    <row r="64" spans="1:16" s="60" customFormat="1" x14ac:dyDescent="0.2">
      <c r="A64" s="14"/>
      <c r="P64" s="146"/>
    </row>
    <row r="65" spans="1:16" s="60" customFormat="1" x14ac:dyDescent="0.2">
      <c r="A65" s="14"/>
      <c r="P65" s="146"/>
    </row>
    <row r="66" spans="1:16" s="60" customFormat="1" x14ac:dyDescent="0.2">
      <c r="A66" s="14"/>
      <c r="P66" s="146"/>
    </row>
    <row r="67" spans="1:16" s="60" customFormat="1" x14ac:dyDescent="0.2">
      <c r="A67" s="14"/>
      <c r="P67" s="146"/>
    </row>
    <row r="68" spans="1:16" s="60" customFormat="1" x14ac:dyDescent="0.2">
      <c r="A68" s="14"/>
      <c r="P68" s="146"/>
    </row>
    <row r="69" spans="1:16" s="60" customFormat="1" x14ac:dyDescent="0.2">
      <c r="A69" s="14"/>
      <c r="P69" s="146"/>
    </row>
    <row r="70" spans="1:16" s="60" customFormat="1" x14ac:dyDescent="0.2">
      <c r="A70" s="14"/>
      <c r="P70" s="146"/>
    </row>
    <row r="71" spans="1:16" s="60" customFormat="1" x14ac:dyDescent="0.2">
      <c r="A71" s="14"/>
      <c r="P71" s="146"/>
    </row>
    <row r="72" spans="1:16" s="60" customFormat="1" x14ac:dyDescent="0.2">
      <c r="A72" s="14"/>
      <c r="P72" s="146"/>
    </row>
    <row r="73" spans="1:16" s="60" customFormat="1" x14ac:dyDescent="0.2">
      <c r="A73" s="14"/>
      <c r="P73" s="146"/>
    </row>
    <row r="74" spans="1:16" s="60" customFormat="1" x14ac:dyDescent="0.2">
      <c r="A74" s="14"/>
      <c r="P74" s="146"/>
    </row>
    <row r="75" spans="1:16" s="60" customFormat="1" x14ac:dyDescent="0.2">
      <c r="A75" s="14"/>
      <c r="P75" s="146"/>
    </row>
    <row r="76" spans="1:16" s="60" customFormat="1" x14ac:dyDescent="0.2">
      <c r="A76" s="14"/>
      <c r="B76" s="60" t="str">
        <f>Texte!A185</f>
        <v/>
      </c>
      <c r="P76" s="146"/>
    </row>
    <row r="77" spans="1:16" s="60" customFormat="1" x14ac:dyDescent="0.2">
      <c r="A77" s="14"/>
      <c r="P77" s="146"/>
    </row>
    <row r="78" spans="1:16" s="60" customFormat="1" x14ac:dyDescent="0.2">
      <c r="A78" s="14"/>
      <c r="B78" s="60" t="str">
        <f>Texte!A178</f>
        <v>Abb. 1: Werterhöhung bei Ausbringung mittels Schleppschlauch, Schleppschuh und Gülledrill nach dem Agrammon-Modell.</v>
      </c>
      <c r="P78" s="146"/>
    </row>
    <row r="79" spans="1:16" s="60" customFormat="1" x14ac:dyDescent="0.2">
      <c r="A79" s="14"/>
      <c r="P79" s="146"/>
    </row>
    <row r="80" spans="1:16" s="60" customFormat="1" x14ac:dyDescent="0.2">
      <c r="A80" s="14"/>
      <c r="P80" s="146"/>
    </row>
    <row r="81" spans="1:16" s="60" customFormat="1" x14ac:dyDescent="0.2">
      <c r="A81" s="14"/>
      <c r="P81" s="146"/>
    </row>
    <row r="82" spans="1:16" s="60" customFormat="1" x14ac:dyDescent="0.2">
      <c r="A82" s="14"/>
      <c r="P82" s="146"/>
    </row>
    <row r="83" spans="1:16" s="60" customFormat="1" x14ac:dyDescent="0.2">
      <c r="A83" s="14"/>
      <c r="P83" s="146"/>
    </row>
    <row r="84" spans="1:16" x14ac:dyDescent="0.2">
      <c r="C84" s="60"/>
      <c r="D84" s="60"/>
      <c r="E84" s="60"/>
      <c r="F84" s="60"/>
      <c r="G84" s="60"/>
      <c r="H84" s="60"/>
      <c r="I84" s="60"/>
      <c r="J84" s="60"/>
      <c r="K84" s="60"/>
      <c r="L84" s="60"/>
      <c r="M84" s="60"/>
      <c r="N84" s="60"/>
      <c r="O84" s="60"/>
      <c r="P84" s="146"/>
    </row>
    <row r="85" spans="1:16" x14ac:dyDescent="0.2">
      <c r="B85" s="60"/>
      <c r="C85" s="60"/>
      <c r="D85" s="60"/>
      <c r="E85" s="60"/>
      <c r="F85" s="60"/>
      <c r="G85" s="60"/>
      <c r="H85" s="60"/>
      <c r="I85" s="60"/>
      <c r="J85" s="60"/>
      <c r="K85" s="60"/>
      <c r="L85" s="60"/>
      <c r="M85" s="60"/>
      <c r="N85" s="60"/>
      <c r="O85" s="60"/>
      <c r="P85" s="146"/>
    </row>
    <row r="86" spans="1:16" x14ac:dyDescent="0.2">
      <c r="B86" s="60"/>
      <c r="C86" s="60"/>
      <c r="D86" s="60"/>
      <c r="E86" s="60"/>
      <c r="F86" s="60"/>
      <c r="G86" s="60"/>
      <c r="H86" s="60"/>
      <c r="I86" s="60"/>
      <c r="J86" s="60"/>
      <c r="K86" s="60"/>
      <c r="L86" s="60"/>
      <c r="M86" s="60"/>
      <c r="N86" s="60"/>
      <c r="O86" s="60"/>
      <c r="P86" s="146"/>
    </row>
    <row r="87" spans="1:16" x14ac:dyDescent="0.2">
      <c r="B87" s="60"/>
      <c r="C87" s="60"/>
      <c r="D87" s="60"/>
      <c r="E87" s="60"/>
      <c r="F87" s="60"/>
      <c r="G87" s="60"/>
      <c r="H87" s="60"/>
      <c r="I87" s="60"/>
      <c r="J87" s="60"/>
      <c r="K87" s="60"/>
      <c r="L87" s="60"/>
      <c r="M87" s="60"/>
      <c r="N87" s="60"/>
      <c r="O87" s="60"/>
      <c r="P87" s="146"/>
    </row>
    <row r="88" spans="1:16" x14ac:dyDescent="0.2">
      <c r="B88" s="60"/>
      <c r="C88" s="60"/>
      <c r="D88" s="60"/>
      <c r="E88" s="60"/>
      <c r="F88" s="60"/>
      <c r="G88" s="60"/>
      <c r="H88" s="60"/>
      <c r="I88" s="60"/>
      <c r="J88" s="60"/>
      <c r="K88" s="60"/>
      <c r="L88" s="60"/>
      <c r="M88" s="60"/>
      <c r="N88" s="60"/>
      <c r="O88" s="60"/>
      <c r="P88" s="146"/>
    </row>
    <row r="89" spans="1:16" x14ac:dyDescent="0.2">
      <c r="B89" s="60"/>
      <c r="C89" s="60"/>
      <c r="D89" s="60"/>
      <c r="E89" s="60"/>
      <c r="F89" s="60"/>
      <c r="G89" s="60"/>
      <c r="H89" s="60"/>
      <c r="I89" s="60"/>
      <c r="J89" s="60"/>
      <c r="K89" s="60"/>
      <c r="L89" s="60"/>
      <c r="M89" s="60"/>
      <c r="N89" s="60"/>
      <c r="O89" s="60"/>
      <c r="P89" s="146"/>
    </row>
    <row r="90" spans="1:16" x14ac:dyDescent="0.2">
      <c r="B90" s="60"/>
      <c r="C90" s="60"/>
      <c r="D90" s="60"/>
      <c r="E90" s="60"/>
      <c r="F90" s="60"/>
      <c r="G90" s="60"/>
      <c r="H90" s="60"/>
      <c r="I90" s="60"/>
      <c r="J90" s="60"/>
      <c r="K90" s="60"/>
      <c r="L90" s="60"/>
      <c r="M90" s="60"/>
      <c r="N90" s="60"/>
      <c r="O90" s="60"/>
      <c r="P90" s="146"/>
    </row>
    <row r="91" spans="1:16" x14ac:dyDescent="0.2">
      <c r="B91" s="60"/>
      <c r="C91" s="60"/>
      <c r="D91" s="60"/>
      <c r="E91" s="60"/>
      <c r="F91" s="60"/>
      <c r="G91" s="60"/>
      <c r="H91" s="60"/>
      <c r="I91" s="60"/>
      <c r="J91" s="60"/>
      <c r="K91" s="60"/>
      <c r="L91" s="60"/>
      <c r="M91" s="60"/>
      <c r="N91" s="60"/>
      <c r="O91" s="60"/>
      <c r="P91" s="146"/>
    </row>
    <row r="92" spans="1:16" x14ac:dyDescent="0.2">
      <c r="B92" s="60"/>
      <c r="C92" s="60"/>
      <c r="D92" s="60"/>
      <c r="E92" s="60"/>
      <c r="F92" s="60"/>
      <c r="G92" s="60"/>
      <c r="H92" s="60"/>
      <c r="I92" s="60"/>
      <c r="J92" s="60"/>
      <c r="K92" s="60"/>
      <c r="L92" s="60"/>
      <c r="M92" s="60"/>
      <c r="N92" s="60"/>
      <c r="O92" s="60"/>
      <c r="P92" s="146"/>
    </row>
    <row r="93" spans="1:16" x14ac:dyDescent="0.2">
      <c r="B93" s="60"/>
      <c r="C93" s="60"/>
      <c r="D93" s="60"/>
      <c r="E93" s="60"/>
      <c r="F93" s="60"/>
      <c r="G93" s="60"/>
      <c r="H93" s="60"/>
      <c r="I93" s="60"/>
      <c r="J93" s="60"/>
      <c r="K93" s="60"/>
      <c r="L93" s="60"/>
      <c r="M93" s="60"/>
      <c r="N93" s="60"/>
      <c r="O93" s="60"/>
      <c r="P93" s="146"/>
    </row>
    <row r="94" spans="1:16" s="60" customFormat="1" x14ac:dyDescent="0.2">
      <c r="A94" s="14"/>
      <c r="P94" s="146"/>
    </row>
    <row r="95" spans="1:16" s="60" customFormat="1" x14ac:dyDescent="0.2">
      <c r="A95" s="14"/>
      <c r="P95" s="146"/>
    </row>
    <row r="96" spans="1:16" s="60" customFormat="1" x14ac:dyDescent="0.2">
      <c r="A96" s="14"/>
      <c r="P96" s="146"/>
    </row>
    <row r="97" spans="1:16" s="60" customFormat="1" x14ac:dyDescent="0.2">
      <c r="A97" s="14"/>
      <c r="P97" s="146"/>
    </row>
    <row r="98" spans="1:16" s="60" customFormat="1" x14ac:dyDescent="0.2">
      <c r="A98" s="14"/>
      <c r="P98" s="146"/>
    </row>
    <row r="99" spans="1:16" s="60" customFormat="1" x14ac:dyDescent="0.2">
      <c r="A99" s="14"/>
      <c r="P99" s="146"/>
    </row>
    <row r="100" spans="1:16" s="60" customFormat="1" x14ac:dyDescent="0.2">
      <c r="A100" s="14"/>
      <c r="P100" s="146"/>
    </row>
    <row r="101" spans="1:16" s="60" customFormat="1" x14ac:dyDescent="0.2">
      <c r="A101" s="14"/>
      <c r="P101" s="146"/>
    </row>
    <row r="102" spans="1:16" s="60" customFormat="1" x14ac:dyDescent="0.2">
      <c r="A102" s="14"/>
      <c r="P102" s="146"/>
    </row>
    <row r="103" spans="1:16" s="60" customFormat="1" x14ac:dyDescent="0.2">
      <c r="A103" s="14"/>
      <c r="P103" s="146"/>
    </row>
    <row r="104" spans="1:16" s="60" customFormat="1" x14ac:dyDescent="0.2">
      <c r="A104" s="14"/>
      <c r="P104" s="146"/>
    </row>
    <row r="105" spans="1:16" s="60" customFormat="1" x14ac:dyDescent="0.2">
      <c r="A105" s="14"/>
      <c r="P105" s="146"/>
    </row>
    <row r="106" spans="1:16" s="60" customFormat="1" x14ac:dyDescent="0.2">
      <c r="A106" s="14"/>
      <c r="I106" s="146"/>
    </row>
    <row r="107" spans="1:16" s="60" customFormat="1" x14ac:dyDescent="0.2">
      <c r="A107" s="14"/>
      <c r="I107" s="146"/>
    </row>
    <row r="108" spans="1:16" s="60" customFormat="1" x14ac:dyDescent="0.2">
      <c r="A108" s="14"/>
      <c r="I108" s="146"/>
    </row>
    <row r="109" spans="1:16" s="60" customFormat="1" x14ac:dyDescent="0.2">
      <c r="A109" s="14"/>
      <c r="I109" s="146"/>
    </row>
    <row r="110" spans="1:16" s="60" customFormat="1" x14ac:dyDescent="0.2">
      <c r="A110" s="14"/>
      <c r="I110" s="146"/>
    </row>
    <row r="111" spans="1:16" s="60" customFormat="1" x14ac:dyDescent="0.2">
      <c r="A111" s="14"/>
      <c r="I111" s="146"/>
    </row>
    <row r="112" spans="1:16" s="60" customFormat="1" x14ac:dyDescent="0.2">
      <c r="A112" s="14"/>
      <c r="I112" s="146"/>
    </row>
    <row r="113" spans="1:9" s="60" customFormat="1" x14ac:dyDescent="0.2">
      <c r="A113" s="14"/>
      <c r="I113" s="146"/>
    </row>
    <row r="114" spans="1:9" s="60" customFormat="1" x14ac:dyDescent="0.2">
      <c r="A114" s="14"/>
      <c r="I114" s="146"/>
    </row>
    <row r="115" spans="1:9" s="60" customFormat="1" x14ac:dyDescent="0.2">
      <c r="A115" s="14"/>
      <c r="I115" s="146"/>
    </row>
    <row r="116" spans="1:9" s="60" customFormat="1" x14ac:dyDescent="0.2">
      <c r="A116" s="14"/>
      <c r="I116" s="146"/>
    </row>
    <row r="117" spans="1:9" s="60" customFormat="1" x14ac:dyDescent="0.2">
      <c r="A117" s="14"/>
      <c r="I117" s="146"/>
    </row>
    <row r="118" spans="1:9" s="60" customFormat="1" x14ac:dyDescent="0.2">
      <c r="A118" s="14"/>
      <c r="I118" s="146"/>
    </row>
    <row r="119" spans="1:9" s="60" customFormat="1" x14ac:dyDescent="0.2">
      <c r="A119" s="14"/>
      <c r="I119" s="146"/>
    </row>
    <row r="120" spans="1:9" s="60" customFormat="1" x14ac:dyDescent="0.2">
      <c r="A120" s="14"/>
      <c r="I120" s="146"/>
    </row>
    <row r="121" spans="1:9" s="60" customFormat="1" x14ac:dyDescent="0.2">
      <c r="A121" s="14"/>
      <c r="I121" s="146"/>
    </row>
    <row r="122" spans="1:9" s="60" customFormat="1" x14ac:dyDescent="0.2">
      <c r="A122" s="14"/>
      <c r="I122" s="146"/>
    </row>
    <row r="123" spans="1:9" s="60" customFormat="1" x14ac:dyDescent="0.2">
      <c r="A123" s="14"/>
      <c r="I123" s="146"/>
    </row>
    <row r="124" spans="1:9" s="60" customFormat="1" x14ac:dyDescent="0.2">
      <c r="A124" s="14"/>
      <c r="I124" s="146"/>
    </row>
    <row r="125" spans="1:9" s="60" customFormat="1" x14ac:dyDescent="0.2">
      <c r="A125" s="14"/>
      <c r="I125" s="146"/>
    </row>
    <row r="126" spans="1:9" s="60" customFormat="1" x14ac:dyDescent="0.2">
      <c r="A126" s="14"/>
      <c r="I126" s="146"/>
    </row>
    <row r="127" spans="1:9" s="60" customFormat="1" x14ac:dyDescent="0.2">
      <c r="A127" s="14"/>
      <c r="I127" s="146"/>
    </row>
    <row r="128" spans="1:9" s="60" customFormat="1" x14ac:dyDescent="0.2">
      <c r="A128" s="14"/>
      <c r="I128" s="146"/>
    </row>
    <row r="129" spans="1:16" s="60" customFormat="1" x14ac:dyDescent="0.2">
      <c r="A129" s="14"/>
      <c r="I129" s="146"/>
    </row>
    <row r="130" spans="1:16" s="60" customFormat="1" x14ac:dyDescent="0.2">
      <c r="A130" s="14"/>
      <c r="I130" s="146"/>
    </row>
    <row r="131" spans="1:16" s="60" customFormat="1" x14ac:dyDescent="0.2">
      <c r="A131" s="14"/>
      <c r="I131" s="146"/>
    </row>
    <row r="132" spans="1:16" s="60" customFormat="1" x14ac:dyDescent="0.2">
      <c r="A132" s="14"/>
      <c r="I132" s="146"/>
    </row>
    <row r="133" spans="1:16" s="60" customFormat="1" x14ac:dyDescent="0.2">
      <c r="A133" s="14"/>
      <c r="P133" s="146"/>
    </row>
  </sheetData>
  <sheetProtection password="B95C" sheet="1" objects="1" scenarios="1" formatCells="0" formatColumns="0" formatRows="0" insertColumns="0" insertRows="0" insertHyperlinks="0" deleteColumns="0" deleteRows="0" sort="0" autoFilter="0" pivotTables="0"/>
  <dataConsolidate/>
  <dataValidations xWindow="523" yWindow="747" count="1">
    <dataValidation type="list" allowBlank="1" showInputMessage="1" showErrorMessage="1" sqref="O5:O7 O54:O56">
      <formula1>#REF!</formula1>
    </dataValidation>
  </dataValidations>
  <printOptions gridLines="1"/>
  <pageMargins left="0.23622047244094491" right="0.23622047244094491" top="0.23622047244094491" bottom="0.39370078740157483" header="0.31496062992125984" footer="0.31496062992125984"/>
  <pageSetup paperSize="9" fitToHeight="0" orientation="landscape" r:id="rId1"/>
  <headerFooter alignWithMargins="0">
    <oddHeader>&amp;L&amp;G</oddHeader>
    <oddFooter>&amp;L&amp;"Arial,Standard"Für die Verwendung dieses elektronischen Hilfsmittels gelten die AGB der AGRIDEA – siehe &amp;U&amp;K0070C0www.agridea.ch&amp;R&amp;"Arial,Standard"Copyright 2022 – AGRIDEA</oddFooter>
  </headerFooter>
  <rowBreaks count="1" manualBreakCount="1">
    <brk id="49" max="16383" man="1"/>
  </rowBreaks>
  <drawing r:id="rId2"/>
  <legacyDrawingHF r:id="rId3"/>
  <extLst>
    <ext xmlns:x14="http://schemas.microsoft.com/office/spreadsheetml/2009/9/main" uri="{CCE6A557-97BC-4b89-ADB6-D9C93CAAB3DF}">
      <x14:dataValidations xmlns:xm="http://schemas.microsoft.com/office/excel/2006/main" xWindow="523" yWindow="747" count="5">
        <x14:dataValidation type="list" allowBlank="1" promptTitle="Nutztierart" prompt="Bitte Auswählen!">
          <x14:formula1>
            <xm:f>Formeln_GRUD!$C$41:$C$49</xm:f>
          </x14:formula1>
          <xm:sqref>E25</xm:sqref>
        </x14:dataValidation>
        <x14:dataValidation type="list" allowBlank="1" showInputMessage="1" showErrorMessage="1">
          <x14:formula1>
            <xm:f>Formeln_GRUD!$V$27:$X$27</xm:f>
          </x14:formula1>
          <xm:sqref>K3</xm:sqref>
        </x14:dataValidation>
        <x14:dataValidation type="list" allowBlank="1" promptTitle="Kompost" prompt="Bitte Auswählen!">
          <x14:formula1>
            <xm:f>Formeln_GRUD!$S$27:$S$29</xm:f>
          </x14:formula1>
          <xm:sqref>E28</xm:sqref>
        </x14:dataValidation>
        <x14:dataValidation type="list" allowBlank="1" promptTitle="Nutztierart" prompt="Bitte Auswählen!">
          <x14:formula1>
            <xm:f>Formeln_GRUD!$S$27:$S$29</xm:f>
          </x14:formula1>
          <xm:sqref>E27</xm:sqref>
        </x14:dataValidation>
        <x14:dataValidation type="list" allowBlank="1" promptTitle="Nutztierart" prompt="Bitte Auswählen!">
          <x14:formula1>
            <xm:f>INDIRECT(ADDRESS(ROW(Formeln_GRUD!T66),COLUMN(Formeln_GRUD!T66),,,"Formeln_GRUD")&amp;":"&amp;ADDRESS(ROW(Formeln_GRUD!T66),COLUMN(Formeln_GRUD!T66)+Formeln_GRUD!T65-1,,,))</xm:f>
          </x14:formula1>
          <xm:sqref>E26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Q423"/>
  <sheetViews>
    <sheetView topLeftCell="A46" zoomScale="110" zoomScaleNormal="110" workbookViewId="0">
      <selection activeCell="D70" sqref="D70"/>
    </sheetView>
  </sheetViews>
  <sheetFormatPr baseColWidth="10" defaultColWidth="47.42578125" defaultRowHeight="12.75" x14ac:dyDescent="0.2"/>
  <cols>
    <col min="1" max="1" width="48.7109375" style="110" customWidth="1"/>
    <col min="2" max="2" width="47.42578125" style="111" customWidth="1"/>
    <col min="3" max="3" width="48.85546875" style="110" customWidth="1"/>
    <col min="4" max="251" width="47.42578125" style="110"/>
    <col min="252" max="252" width="48.7109375" style="110" customWidth="1"/>
    <col min="253" max="253" width="47.42578125" style="110" customWidth="1"/>
    <col min="254" max="254" width="48.85546875" style="110" customWidth="1"/>
    <col min="255" max="507" width="47.42578125" style="110"/>
    <col min="508" max="508" width="48.7109375" style="110" customWidth="1"/>
    <col min="509" max="509" width="47.42578125" style="110" customWidth="1"/>
    <col min="510" max="510" width="48.85546875" style="110" customWidth="1"/>
    <col min="511" max="763" width="47.42578125" style="110"/>
    <col min="764" max="764" width="48.7109375" style="110" customWidth="1"/>
    <col min="765" max="765" width="47.42578125" style="110" customWidth="1"/>
    <col min="766" max="766" width="48.85546875" style="110" customWidth="1"/>
    <col min="767" max="1019" width="47.42578125" style="110"/>
    <col min="1020" max="1020" width="48.7109375" style="110" customWidth="1"/>
    <col min="1021" max="1021" width="47.42578125" style="110" customWidth="1"/>
    <col min="1022" max="1022" width="48.85546875" style="110" customWidth="1"/>
    <col min="1023" max="1275" width="47.42578125" style="110"/>
    <col min="1276" max="1276" width="48.7109375" style="110" customWidth="1"/>
    <col min="1277" max="1277" width="47.42578125" style="110" customWidth="1"/>
    <col min="1278" max="1278" width="48.85546875" style="110" customWidth="1"/>
    <col min="1279" max="1531" width="47.42578125" style="110"/>
    <col min="1532" max="1532" width="48.7109375" style="110" customWidth="1"/>
    <col min="1533" max="1533" width="47.42578125" style="110" customWidth="1"/>
    <col min="1534" max="1534" width="48.85546875" style="110" customWidth="1"/>
    <col min="1535" max="1787" width="47.42578125" style="110"/>
    <col min="1788" max="1788" width="48.7109375" style="110" customWidth="1"/>
    <col min="1789" max="1789" width="47.42578125" style="110" customWidth="1"/>
    <col min="1790" max="1790" width="48.85546875" style="110" customWidth="1"/>
    <col min="1791" max="2043" width="47.42578125" style="110"/>
    <col min="2044" max="2044" width="48.7109375" style="110" customWidth="1"/>
    <col min="2045" max="2045" width="47.42578125" style="110" customWidth="1"/>
    <col min="2046" max="2046" width="48.85546875" style="110" customWidth="1"/>
    <col min="2047" max="2299" width="47.42578125" style="110"/>
    <col min="2300" max="2300" width="48.7109375" style="110" customWidth="1"/>
    <col min="2301" max="2301" width="47.42578125" style="110" customWidth="1"/>
    <col min="2302" max="2302" width="48.85546875" style="110" customWidth="1"/>
    <col min="2303" max="2555" width="47.42578125" style="110"/>
    <col min="2556" max="2556" width="48.7109375" style="110" customWidth="1"/>
    <col min="2557" max="2557" width="47.42578125" style="110" customWidth="1"/>
    <col min="2558" max="2558" width="48.85546875" style="110" customWidth="1"/>
    <col min="2559" max="2811" width="47.42578125" style="110"/>
    <col min="2812" max="2812" width="48.7109375" style="110" customWidth="1"/>
    <col min="2813" max="2813" width="47.42578125" style="110" customWidth="1"/>
    <col min="2814" max="2814" width="48.85546875" style="110" customWidth="1"/>
    <col min="2815" max="3067" width="47.42578125" style="110"/>
    <col min="3068" max="3068" width="48.7109375" style="110" customWidth="1"/>
    <col min="3069" max="3069" width="47.42578125" style="110" customWidth="1"/>
    <col min="3070" max="3070" width="48.85546875" style="110" customWidth="1"/>
    <col min="3071" max="3323" width="47.42578125" style="110"/>
    <col min="3324" max="3324" width="48.7109375" style="110" customWidth="1"/>
    <col min="3325" max="3325" width="47.42578125" style="110" customWidth="1"/>
    <col min="3326" max="3326" width="48.85546875" style="110" customWidth="1"/>
    <col min="3327" max="3579" width="47.42578125" style="110"/>
    <col min="3580" max="3580" width="48.7109375" style="110" customWidth="1"/>
    <col min="3581" max="3581" width="47.42578125" style="110" customWidth="1"/>
    <col min="3582" max="3582" width="48.85546875" style="110" customWidth="1"/>
    <col min="3583" max="3835" width="47.42578125" style="110"/>
    <col min="3836" max="3836" width="48.7109375" style="110" customWidth="1"/>
    <col min="3837" max="3837" width="47.42578125" style="110" customWidth="1"/>
    <col min="3838" max="3838" width="48.85546875" style="110" customWidth="1"/>
    <col min="3839" max="4091" width="47.42578125" style="110"/>
    <col min="4092" max="4092" width="48.7109375" style="110" customWidth="1"/>
    <col min="4093" max="4093" width="47.42578125" style="110" customWidth="1"/>
    <col min="4094" max="4094" width="48.85546875" style="110" customWidth="1"/>
    <col min="4095" max="4347" width="47.42578125" style="110"/>
    <col min="4348" max="4348" width="48.7109375" style="110" customWidth="1"/>
    <col min="4349" max="4349" width="47.42578125" style="110" customWidth="1"/>
    <col min="4350" max="4350" width="48.85546875" style="110" customWidth="1"/>
    <col min="4351" max="4603" width="47.42578125" style="110"/>
    <col min="4604" max="4604" width="48.7109375" style="110" customWidth="1"/>
    <col min="4605" max="4605" width="47.42578125" style="110" customWidth="1"/>
    <col min="4606" max="4606" width="48.85546875" style="110" customWidth="1"/>
    <col min="4607" max="4859" width="47.42578125" style="110"/>
    <col min="4860" max="4860" width="48.7109375" style="110" customWidth="1"/>
    <col min="4861" max="4861" width="47.42578125" style="110" customWidth="1"/>
    <col min="4862" max="4862" width="48.85546875" style="110" customWidth="1"/>
    <col min="4863" max="5115" width="47.42578125" style="110"/>
    <col min="5116" max="5116" width="48.7109375" style="110" customWidth="1"/>
    <col min="5117" max="5117" width="47.42578125" style="110" customWidth="1"/>
    <col min="5118" max="5118" width="48.85546875" style="110" customWidth="1"/>
    <col min="5119" max="5371" width="47.42578125" style="110"/>
    <col min="5372" max="5372" width="48.7109375" style="110" customWidth="1"/>
    <col min="5373" max="5373" width="47.42578125" style="110" customWidth="1"/>
    <col min="5374" max="5374" width="48.85546875" style="110" customWidth="1"/>
    <col min="5375" max="5627" width="47.42578125" style="110"/>
    <col min="5628" max="5628" width="48.7109375" style="110" customWidth="1"/>
    <col min="5629" max="5629" width="47.42578125" style="110" customWidth="1"/>
    <col min="5630" max="5630" width="48.85546875" style="110" customWidth="1"/>
    <col min="5631" max="5883" width="47.42578125" style="110"/>
    <col min="5884" max="5884" width="48.7109375" style="110" customWidth="1"/>
    <col min="5885" max="5885" width="47.42578125" style="110" customWidth="1"/>
    <col min="5886" max="5886" width="48.85546875" style="110" customWidth="1"/>
    <col min="5887" max="6139" width="47.42578125" style="110"/>
    <col min="6140" max="6140" width="48.7109375" style="110" customWidth="1"/>
    <col min="6141" max="6141" width="47.42578125" style="110" customWidth="1"/>
    <col min="6142" max="6142" width="48.85546875" style="110" customWidth="1"/>
    <col min="6143" max="6395" width="47.42578125" style="110"/>
    <col min="6396" max="6396" width="48.7109375" style="110" customWidth="1"/>
    <col min="6397" max="6397" width="47.42578125" style="110" customWidth="1"/>
    <col min="6398" max="6398" width="48.85546875" style="110" customWidth="1"/>
    <col min="6399" max="6651" width="47.42578125" style="110"/>
    <col min="6652" max="6652" width="48.7109375" style="110" customWidth="1"/>
    <col min="6653" max="6653" width="47.42578125" style="110" customWidth="1"/>
    <col min="6654" max="6654" width="48.85546875" style="110" customWidth="1"/>
    <col min="6655" max="6907" width="47.42578125" style="110"/>
    <col min="6908" max="6908" width="48.7109375" style="110" customWidth="1"/>
    <col min="6909" max="6909" width="47.42578125" style="110" customWidth="1"/>
    <col min="6910" max="6910" width="48.85546875" style="110" customWidth="1"/>
    <col min="6911" max="7163" width="47.42578125" style="110"/>
    <col min="7164" max="7164" width="48.7109375" style="110" customWidth="1"/>
    <col min="7165" max="7165" width="47.42578125" style="110" customWidth="1"/>
    <col min="7166" max="7166" width="48.85546875" style="110" customWidth="1"/>
    <col min="7167" max="7419" width="47.42578125" style="110"/>
    <col min="7420" max="7420" width="48.7109375" style="110" customWidth="1"/>
    <col min="7421" max="7421" width="47.42578125" style="110" customWidth="1"/>
    <col min="7422" max="7422" width="48.85546875" style="110" customWidth="1"/>
    <col min="7423" max="7675" width="47.42578125" style="110"/>
    <col min="7676" max="7676" width="48.7109375" style="110" customWidth="1"/>
    <col min="7677" max="7677" width="47.42578125" style="110" customWidth="1"/>
    <col min="7678" max="7678" width="48.85546875" style="110" customWidth="1"/>
    <col min="7679" max="7931" width="47.42578125" style="110"/>
    <col min="7932" max="7932" width="48.7109375" style="110" customWidth="1"/>
    <col min="7933" max="7933" width="47.42578125" style="110" customWidth="1"/>
    <col min="7934" max="7934" width="48.85546875" style="110" customWidth="1"/>
    <col min="7935" max="8187" width="47.42578125" style="110"/>
    <col min="8188" max="8188" width="48.7109375" style="110" customWidth="1"/>
    <col min="8189" max="8189" width="47.42578125" style="110" customWidth="1"/>
    <col min="8190" max="8190" width="48.85546875" style="110" customWidth="1"/>
    <col min="8191" max="8443" width="47.42578125" style="110"/>
    <col min="8444" max="8444" width="48.7109375" style="110" customWidth="1"/>
    <col min="8445" max="8445" width="47.42578125" style="110" customWidth="1"/>
    <col min="8446" max="8446" width="48.85546875" style="110" customWidth="1"/>
    <col min="8447" max="8699" width="47.42578125" style="110"/>
    <col min="8700" max="8700" width="48.7109375" style="110" customWidth="1"/>
    <col min="8701" max="8701" width="47.42578125" style="110" customWidth="1"/>
    <col min="8702" max="8702" width="48.85546875" style="110" customWidth="1"/>
    <col min="8703" max="8955" width="47.42578125" style="110"/>
    <col min="8956" max="8956" width="48.7109375" style="110" customWidth="1"/>
    <col min="8957" max="8957" width="47.42578125" style="110" customWidth="1"/>
    <col min="8958" max="8958" width="48.85546875" style="110" customWidth="1"/>
    <col min="8959" max="9211" width="47.42578125" style="110"/>
    <col min="9212" max="9212" width="48.7109375" style="110" customWidth="1"/>
    <col min="9213" max="9213" width="47.42578125" style="110" customWidth="1"/>
    <col min="9214" max="9214" width="48.85546875" style="110" customWidth="1"/>
    <col min="9215" max="9467" width="47.42578125" style="110"/>
    <col min="9468" max="9468" width="48.7109375" style="110" customWidth="1"/>
    <col min="9469" max="9469" width="47.42578125" style="110" customWidth="1"/>
    <col min="9470" max="9470" width="48.85546875" style="110" customWidth="1"/>
    <col min="9471" max="9723" width="47.42578125" style="110"/>
    <col min="9724" max="9724" width="48.7109375" style="110" customWidth="1"/>
    <col min="9725" max="9725" width="47.42578125" style="110" customWidth="1"/>
    <col min="9726" max="9726" width="48.85546875" style="110" customWidth="1"/>
    <col min="9727" max="9979" width="47.42578125" style="110"/>
    <col min="9980" max="9980" width="48.7109375" style="110" customWidth="1"/>
    <col min="9981" max="9981" width="47.42578125" style="110" customWidth="1"/>
    <col min="9982" max="9982" width="48.85546875" style="110" customWidth="1"/>
    <col min="9983" max="10235" width="47.42578125" style="110"/>
    <col min="10236" max="10236" width="48.7109375" style="110" customWidth="1"/>
    <col min="10237" max="10237" width="47.42578125" style="110" customWidth="1"/>
    <col min="10238" max="10238" width="48.85546875" style="110" customWidth="1"/>
    <col min="10239" max="10491" width="47.42578125" style="110"/>
    <col min="10492" max="10492" width="48.7109375" style="110" customWidth="1"/>
    <col min="10493" max="10493" width="47.42578125" style="110" customWidth="1"/>
    <col min="10494" max="10494" width="48.85546875" style="110" customWidth="1"/>
    <col min="10495" max="10747" width="47.42578125" style="110"/>
    <col min="10748" max="10748" width="48.7109375" style="110" customWidth="1"/>
    <col min="10749" max="10749" width="47.42578125" style="110" customWidth="1"/>
    <col min="10750" max="10750" width="48.85546875" style="110" customWidth="1"/>
    <col min="10751" max="11003" width="47.42578125" style="110"/>
    <col min="11004" max="11004" width="48.7109375" style="110" customWidth="1"/>
    <col min="11005" max="11005" width="47.42578125" style="110" customWidth="1"/>
    <col min="11006" max="11006" width="48.85546875" style="110" customWidth="1"/>
    <col min="11007" max="11259" width="47.42578125" style="110"/>
    <col min="11260" max="11260" width="48.7109375" style="110" customWidth="1"/>
    <col min="11261" max="11261" width="47.42578125" style="110" customWidth="1"/>
    <col min="11262" max="11262" width="48.85546875" style="110" customWidth="1"/>
    <col min="11263" max="11515" width="47.42578125" style="110"/>
    <col min="11516" max="11516" width="48.7109375" style="110" customWidth="1"/>
    <col min="11517" max="11517" width="47.42578125" style="110" customWidth="1"/>
    <col min="11518" max="11518" width="48.85546875" style="110" customWidth="1"/>
    <col min="11519" max="11771" width="47.42578125" style="110"/>
    <col min="11772" max="11772" width="48.7109375" style="110" customWidth="1"/>
    <col min="11773" max="11773" width="47.42578125" style="110" customWidth="1"/>
    <col min="11774" max="11774" width="48.85546875" style="110" customWidth="1"/>
    <col min="11775" max="12027" width="47.42578125" style="110"/>
    <col min="12028" max="12028" width="48.7109375" style="110" customWidth="1"/>
    <col min="12029" max="12029" width="47.42578125" style="110" customWidth="1"/>
    <col min="12030" max="12030" width="48.85546875" style="110" customWidth="1"/>
    <col min="12031" max="12283" width="47.42578125" style="110"/>
    <col min="12284" max="12284" width="48.7109375" style="110" customWidth="1"/>
    <col min="12285" max="12285" width="47.42578125" style="110" customWidth="1"/>
    <col min="12286" max="12286" width="48.85546875" style="110" customWidth="1"/>
    <col min="12287" max="12539" width="47.42578125" style="110"/>
    <col min="12540" max="12540" width="48.7109375" style="110" customWidth="1"/>
    <col min="12541" max="12541" width="47.42578125" style="110" customWidth="1"/>
    <col min="12542" max="12542" width="48.85546875" style="110" customWidth="1"/>
    <col min="12543" max="12795" width="47.42578125" style="110"/>
    <col min="12796" max="12796" width="48.7109375" style="110" customWidth="1"/>
    <col min="12797" max="12797" width="47.42578125" style="110" customWidth="1"/>
    <col min="12798" max="12798" width="48.85546875" style="110" customWidth="1"/>
    <col min="12799" max="13051" width="47.42578125" style="110"/>
    <col min="13052" max="13052" width="48.7109375" style="110" customWidth="1"/>
    <col min="13053" max="13053" width="47.42578125" style="110" customWidth="1"/>
    <col min="13054" max="13054" width="48.85546875" style="110" customWidth="1"/>
    <col min="13055" max="13307" width="47.42578125" style="110"/>
    <col min="13308" max="13308" width="48.7109375" style="110" customWidth="1"/>
    <col min="13309" max="13309" width="47.42578125" style="110" customWidth="1"/>
    <col min="13310" max="13310" width="48.85546875" style="110" customWidth="1"/>
    <col min="13311" max="13563" width="47.42578125" style="110"/>
    <col min="13564" max="13564" width="48.7109375" style="110" customWidth="1"/>
    <col min="13565" max="13565" width="47.42578125" style="110" customWidth="1"/>
    <col min="13566" max="13566" width="48.85546875" style="110" customWidth="1"/>
    <col min="13567" max="13819" width="47.42578125" style="110"/>
    <col min="13820" max="13820" width="48.7109375" style="110" customWidth="1"/>
    <col min="13821" max="13821" width="47.42578125" style="110" customWidth="1"/>
    <col min="13822" max="13822" width="48.85546875" style="110" customWidth="1"/>
    <col min="13823" max="14075" width="47.42578125" style="110"/>
    <col min="14076" max="14076" width="48.7109375" style="110" customWidth="1"/>
    <col min="14077" max="14077" width="47.42578125" style="110" customWidth="1"/>
    <col min="14078" max="14078" width="48.85546875" style="110" customWidth="1"/>
    <col min="14079" max="14331" width="47.42578125" style="110"/>
    <col min="14332" max="14332" width="48.7109375" style="110" customWidth="1"/>
    <col min="14333" max="14333" width="47.42578125" style="110" customWidth="1"/>
    <col min="14334" max="14334" width="48.85546875" style="110" customWidth="1"/>
    <col min="14335" max="14587" width="47.42578125" style="110"/>
    <col min="14588" max="14588" width="48.7109375" style="110" customWidth="1"/>
    <col min="14589" max="14589" width="47.42578125" style="110" customWidth="1"/>
    <col min="14590" max="14590" width="48.85546875" style="110" customWidth="1"/>
    <col min="14591" max="14843" width="47.42578125" style="110"/>
    <col min="14844" max="14844" width="48.7109375" style="110" customWidth="1"/>
    <col min="14845" max="14845" width="47.42578125" style="110" customWidth="1"/>
    <col min="14846" max="14846" width="48.85546875" style="110" customWidth="1"/>
    <col min="14847" max="15099" width="47.42578125" style="110"/>
    <col min="15100" max="15100" width="48.7109375" style="110" customWidth="1"/>
    <col min="15101" max="15101" width="47.42578125" style="110" customWidth="1"/>
    <col min="15102" max="15102" width="48.85546875" style="110" customWidth="1"/>
    <col min="15103" max="15355" width="47.42578125" style="110"/>
    <col min="15356" max="15356" width="48.7109375" style="110" customWidth="1"/>
    <col min="15357" max="15357" width="47.42578125" style="110" customWidth="1"/>
    <col min="15358" max="15358" width="48.85546875" style="110" customWidth="1"/>
    <col min="15359" max="15611" width="47.42578125" style="110"/>
    <col min="15612" max="15612" width="48.7109375" style="110" customWidth="1"/>
    <col min="15613" max="15613" width="47.42578125" style="110" customWidth="1"/>
    <col min="15614" max="15614" width="48.85546875" style="110" customWidth="1"/>
    <col min="15615" max="15867" width="47.42578125" style="110"/>
    <col min="15868" max="15868" width="48.7109375" style="110" customWidth="1"/>
    <col min="15869" max="15869" width="47.42578125" style="110" customWidth="1"/>
    <col min="15870" max="15870" width="48.85546875" style="110" customWidth="1"/>
    <col min="15871" max="16123" width="47.42578125" style="110"/>
    <col min="16124" max="16124" width="48.7109375" style="110" customWidth="1"/>
    <col min="16125" max="16125" width="47.42578125" style="110" customWidth="1"/>
    <col min="16126" max="16126" width="48.85546875" style="110" customWidth="1"/>
    <col min="16127" max="16384" width="47.42578125" style="110"/>
  </cols>
  <sheetData>
    <row r="1" spans="1:4" x14ac:dyDescent="0.2">
      <c r="A1" s="110" t="s">
        <v>120</v>
      </c>
    </row>
    <row r="2" spans="1:4" x14ac:dyDescent="0.2">
      <c r="A2" s="110">
        <f>HLOOKUP('Rechner Calulateur'!$K$3,Formeln_GRUD!$V$27:$X$28,2)</f>
        <v>1</v>
      </c>
    </row>
    <row r="3" spans="1:4" x14ac:dyDescent="0.2">
      <c r="B3" s="112" t="s">
        <v>117</v>
      </c>
      <c r="C3" s="113" t="s">
        <v>118</v>
      </c>
      <c r="D3" s="113" t="s">
        <v>119</v>
      </c>
    </row>
    <row r="4" spans="1:4" ht="51" x14ac:dyDescent="0.2">
      <c r="A4" s="113" t="str">
        <f>IF($A$2=1,B4,IF($A$2=2,C4,IF($A$2=3,D4,"")))</f>
        <v>Berechnung des monetären Wertes der verfügbaren Nährstoffe von ausgebrachtem Hofdünger anhand aktuellen Handelsdüngerpreisen</v>
      </c>
      <c r="B4" s="112" t="s">
        <v>489</v>
      </c>
      <c r="C4" s="170" t="s">
        <v>490</v>
      </c>
      <c r="D4" s="113" t="s">
        <v>630</v>
      </c>
    </row>
    <row r="5" spans="1:4" x14ac:dyDescent="0.2">
      <c r="A5" s="113"/>
      <c r="B5" s="112"/>
      <c r="C5" s="170"/>
      <c r="D5" s="113"/>
    </row>
    <row r="6" spans="1:4" x14ac:dyDescent="0.2">
      <c r="A6" s="110" t="str">
        <f>IF(ISBLANK(B6),"",IF($A$2=1,B6,IF($A$2=2,C6,IF($A$2=3,D6,""))))</f>
        <v>Name / Vorname</v>
      </c>
      <c r="B6" s="219" t="s">
        <v>437</v>
      </c>
      <c r="C6" s="218" t="s">
        <v>502</v>
      </c>
      <c r="D6" s="172" t="s">
        <v>627</v>
      </c>
    </row>
    <row r="7" spans="1:4" x14ac:dyDescent="0.2">
      <c r="A7" s="110" t="str">
        <f>IF(ISBLANK(B7),"",IF($A$2=1,B7,IF($A$2=2,C7,IF($A$2=3,D7,""))))</f>
        <v>Strasse / Hof</v>
      </c>
      <c r="B7" s="219" t="s">
        <v>438</v>
      </c>
      <c r="C7" s="218" t="s">
        <v>503</v>
      </c>
      <c r="D7" s="172" t="s">
        <v>628</v>
      </c>
    </row>
    <row r="8" spans="1:4" x14ac:dyDescent="0.2">
      <c r="A8" s="110" t="str">
        <f>IF(ISBLANK(B8),"",IF($A$2=1,B8,IF($A$2=2,C8,IF($A$2=3,D8,""))))</f>
        <v>PLZ / Ort</v>
      </c>
      <c r="B8" s="219" t="s">
        <v>439</v>
      </c>
      <c r="C8" s="218" t="s">
        <v>504</v>
      </c>
      <c r="D8" s="172" t="s">
        <v>629</v>
      </c>
    </row>
    <row r="9" spans="1:4" x14ac:dyDescent="0.2">
      <c r="A9" s="110" t="str">
        <f>IF(ISBLANK(B9),"",IF($A$2=1,B9,IF($A$2=2,C9,IF($A$2=3,D9,""))))</f>
        <v>Telefon</v>
      </c>
      <c r="B9" s="219" t="s">
        <v>440</v>
      </c>
      <c r="C9" s="218" t="s">
        <v>505</v>
      </c>
      <c r="D9" s="172" t="s">
        <v>506</v>
      </c>
    </row>
    <row r="10" spans="1:4" x14ac:dyDescent="0.2">
      <c r="A10" s="110" t="str">
        <f>IF(ISBLANK(B10),"",IF($A$2=1,B10,IF($A$2=2,C10,IF($A$2=3,D10,""))))</f>
        <v>Notizen</v>
      </c>
      <c r="B10" s="219" t="s">
        <v>441</v>
      </c>
      <c r="C10" s="218" t="s">
        <v>507</v>
      </c>
      <c r="D10" s="172" t="s">
        <v>240</v>
      </c>
    </row>
    <row r="11" spans="1:4" x14ac:dyDescent="0.2">
      <c r="B11" s="219"/>
      <c r="C11" s="219"/>
      <c r="D11" s="172"/>
    </row>
    <row r="12" spans="1:4" s="113" customFormat="1" x14ac:dyDescent="0.2">
      <c r="A12" s="113" t="str">
        <f>IF($A$2=1,B12,IF($A$2=2,C12,IF($A$2=3,D12,"")))</f>
        <v>Anleitung</v>
      </c>
      <c r="B12" s="112" t="s">
        <v>121</v>
      </c>
      <c r="C12" s="110" t="s">
        <v>357</v>
      </c>
      <c r="D12" s="114" t="s">
        <v>122</v>
      </c>
    </row>
    <row r="13" spans="1:4" x14ac:dyDescent="0.2">
      <c r="A13" s="110" t="str">
        <f t="shared" ref="A13:A44" si="0">IF(ISBLANK(B13),"",IF($A$2=1,B13,IF($A$2=2,C13,IF($A$2=3,D13,""))))</f>
        <v>Hofdüngerwert-Rechner</v>
      </c>
      <c r="B13" s="111" t="s">
        <v>672</v>
      </c>
      <c r="C13" s="220" t="s">
        <v>358</v>
      </c>
      <c r="D13" s="115" t="s">
        <v>405</v>
      </c>
    </row>
    <row r="14" spans="1:4" x14ac:dyDescent="0.2">
      <c r="A14" s="110" t="str">
        <f t="shared" si="0"/>
        <v>Version:</v>
      </c>
      <c r="B14" s="111" t="s">
        <v>431</v>
      </c>
      <c r="C14" s="110" t="s">
        <v>431</v>
      </c>
      <c r="D14" s="110" t="s">
        <v>432</v>
      </c>
    </row>
    <row r="15" spans="1:4" x14ac:dyDescent="0.2">
      <c r="A15" s="110" t="str">
        <f t="shared" si="0"/>
        <v/>
      </c>
    </row>
    <row r="16" spans="1:4" x14ac:dyDescent="0.2">
      <c r="A16" s="110" t="str">
        <f t="shared" si="0"/>
        <v/>
      </c>
      <c r="D16" s="116"/>
    </row>
    <row r="17" spans="1:8" x14ac:dyDescent="0.2">
      <c r="A17" s="110" t="str">
        <f t="shared" si="0"/>
        <v>Sprache:</v>
      </c>
      <c r="B17" s="111" t="s">
        <v>116</v>
      </c>
      <c r="C17" s="110" t="s">
        <v>123</v>
      </c>
      <c r="D17" s="117" t="s">
        <v>124</v>
      </c>
    </row>
    <row r="18" spans="1:8" x14ac:dyDescent="0.2">
      <c r="A18" s="110" t="str">
        <f t="shared" si="0"/>
        <v>Anleitung</v>
      </c>
      <c r="B18" s="111" t="s">
        <v>121</v>
      </c>
      <c r="C18" s="110" t="s">
        <v>357</v>
      </c>
      <c r="D18" s="117" t="s">
        <v>122</v>
      </c>
    </row>
    <row r="19" spans="1:8" x14ac:dyDescent="0.2">
      <c r="A19" s="110" t="str">
        <f t="shared" si="0"/>
        <v>grüne Zellen:</v>
      </c>
      <c r="B19" s="111" t="s">
        <v>125</v>
      </c>
      <c r="C19" s="110" t="s">
        <v>126</v>
      </c>
      <c r="D19" s="117" t="s">
        <v>127</v>
      </c>
    </row>
    <row r="20" spans="1:8" x14ac:dyDescent="0.2">
      <c r="A20" s="110" t="str">
        <f t="shared" si="0"/>
        <v>gelbe Zeilen:</v>
      </c>
      <c r="B20" s="111" t="s">
        <v>128</v>
      </c>
      <c r="C20" s="110" t="s">
        <v>129</v>
      </c>
      <c r="D20" s="117" t="s">
        <v>130</v>
      </c>
    </row>
    <row r="21" spans="1:8" x14ac:dyDescent="0.2">
      <c r="A21" s="110" t="str">
        <f t="shared" si="0"/>
        <v xml:space="preserve">weisse Zellen: </v>
      </c>
      <c r="B21" s="111" t="s">
        <v>131</v>
      </c>
      <c r="C21" s="110" t="s">
        <v>132</v>
      </c>
      <c r="D21" s="117" t="s">
        <v>133</v>
      </c>
    </row>
    <row r="22" spans="1:8" x14ac:dyDescent="0.2">
      <c r="A22" s="110" t="str">
        <f t="shared" si="0"/>
        <v>Auswahllisten</v>
      </c>
      <c r="B22" s="111" t="s">
        <v>134</v>
      </c>
      <c r="C22" s="110" t="s">
        <v>135</v>
      </c>
      <c r="D22" s="117" t="s">
        <v>413</v>
      </c>
    </row>
    <row r="23" spans="1:8" x14ac:dyDescent="0.2">
      <c r="A23" s="110" t="str">
        <f t="shared" si="0"/>
        <v>zur Dateneingabe</v>
      </c>
      <c r="B23" s="111" t="s">
        <v>136</v>
      </c>
      <c r="C23" s="110" t="s">
        <v>137</v>
      </c>
      <c r="D23" s="117" t="s">
        <v>423</v>
      </c>
    </row>
    <row r="24" spans="1:8" x14ac:dyDescent="0.2">
      <c r="A24" s="110" t="str">
        <f t="shared" si="0"/>
        <v>gesperrte Zellen</v>
      </c>
      <c r="B24" s="111" t="s">
        <v>138</v>
      </c>
      <c r="C24" s="110" t="s">
        <v>359</v>
      </c>
      <c r="D24" s="117" t="s">
        <v>414</v>
      </c>
    </row>
    <row r="25" spans="1:8" x14ac:dyDescent="0.2">
      <c r="A25" s="110" t="str">
        <f t="shared" si="0"/>
        <v>Vorgehen:</v>
      </c>
      <c r="B25" s="111" t="s">
        <v>139</v>
      </c>
      <c r="C25" s="110" t="s">
        <v>140</v>
      </c>
      <c r="D25" s="117" t="s">
        <v>141</v>
      </c>
      <c r="H25" s="110" t="b">
        <f>IF(Formeln_GRUD!Q53=FALSE,Texte!A87)</f>
        <v>0</v>
      </c>
    </row>
    <row r="26" spans="1:8" x14ac:dyDescent="0.2">
      <c r="A26" s="110" t="str">
        <f t="shared" si="0"/>
        <v/>
      </c>
      <c r="D26" s="117"/>
    </row>
    <row r="27" spans="1:8" ht="25.5" x14ac:dyDescent="0.2">
      <c r="A27" s="110" t="str">
        <f t="shared" si="0"/>
        <v>Gegenwertsrechner Hofdünger zu Handelsdünger</v>
      </c>
      <c r="B27" s="118" t="s">
        <v>77</v>
      </c>
      <c r="C27" s="110" t="s">
        <v>360</v>
      </c>
      <c r="D27" s="116" t="s">
        <v>219</v>
      </c>
    </row>
    <row r="28" spans="1:8" x14ac:dyDescent="0.2">
      <c r="A28" s="110" t="str">
        <f t="shared" si="0"/>
        <v/>
      </c>
      <c r="B28" s="118"/>
      <c r="D28" s="116"/>
    </row>
    <row r="29" spans="1:8" ht="38.25" x14ac:dyDescent="0.2">
      <c r="A29" s="110" t="str">
        <f t="shared" si="0"/>
        <v>1. Bitte Nutztierart / Biogasanlage und Hofdüngerart auswählen. Bei Gülle die Verdünnung angeben.</v>
      </c>
      <c r="B29" s="119" t="s">
        <v>788</v>
      </c>
      <c r="C29" s="110" t="s">
        <v>783</v>
      </c>
      <c r="D29" s="116" t="s">
        <v>616</v>
      </c>
    </row>
    <row r="30" spans="1:8" ht="38.25" x14ac:dyDescent="0.2">
      <c r="A30" s="110" t="str">
        <f t="shared" si="0"/>
        <v>2. Falls eigene Analysenwerte verwendet werden sollen: "Eigene Analyse": "Ja", bei "Nein" wird mit Mittelwerten gerechnet.</v>
      </c>
      <c r="B30" s="120" t="s">
        <v>789</v>
      </c>
      <c r="C30" s="139" t="s">
        <v>615</v>
      </c>
      <c r="D30" s="116" t="s">
        <v>426</v>
      </c>
    </row>
    <row r="31" spans="1:8" ht="51" x14ac:dyDescent="0.2">
      <c r="A31" s="110" t="str">
        <f t="shared" si="0"/>
        <v>3. Optional: Eintrag organische Substanz (C-Eintrag) kompensieren "Ja" oder "Nein". Handelsüblicher Frischkompost dient als Ersatzquelle für organisches Material.</v>
      </c>
      <c r="B31" s="252" t="s">
        <v>785</v>
      </c>
      <c r="C31" s="251" t="s">
        <v>786</v>
      </c>
      <c r="D31" s="116" t="s">
        <v>787</v>
      </c>
    </row>
    <row r="32" spans="1:8" ht="25.5" x14ac:dyDescent="0.2">
      <c r="A32" s="110" t="str">
        <f t="shared" si="0"/>
        <v>3. Falls "Eigene Analyse" mit "Ja" ausgewählt: Bitte Werte in den gelben Bereich eingeben.</v>
      </c>
      <c r="B32" s="119" t="s">
        <v>216</v>
      </c>
      <c r="C32" s="221" t="s">
        <v>784</v>
      </c>
      <c r="D32" s="116" t="s">
        <v>220</v>
      </c>
    </row>
    <row r="33" spans="1:4" x14ac:dyDescent="0.2">
      <c r="A33" s="110" t="str">
        <f t="shared" si="0"/>
        <v>Dateneingabe</v>
      </c>
      <c r="B33" s="120" t="s">
        <v>209</v>
      </c>
      <c r="C33" s="222" t="s">
        <v>343</v>
      </c>
      <c r="D33" s="138" t="s">
        <v>424</v>
      </c>
    </row>
    <row r="34" spans="1:4" x14ac:dyDescent="0.2">
      <c r="A34" s="110" t="str">
        <f t="shared" si="0"/>
        <v>Datenauswahl</v>
      </c>
      <c r="B34" s="121" t="s">
        <v>218</v>
      </c>
      <c r="C34" s="221" t="s">
        <v>221</v>
      </c>
      <c r="D34" s="116" t="s">
        <v>425</v>
      </c>
    </row>
    <row r="35" spans="1:4" x14ac:dyDescent="0.2">
      <c r="A35" s="110" t="str">
        <f t="shared" si="0"/>
        <v>Eigene Analyse</v>
      </c>
      <c r="B35" s="119" t="s">
        <v>217</v>
      </c>
      <c r="C35" s="221" t="s">
        <v>361</v>
      </c>
      <c r="D35" s="116" t="s">
        <v>222</v>
      </c>
    </row>
    <row r="36" spans="1:4" x14ac:dyDescent="0.2">
      <c r="A36" s="110" t="str">
        <f t="shared" si="0"/>
        <v>Nutztierart / Biogasanlage</v>
      </c>
      <c r="B36" s="119" t="s">
        <v>780</v>
      </c>
      <c r="C36" s="221" t="s">
        <v>781</v>
      </c>
      <c r="D36" s="136" t="s">
        <v>782</v>
      </c>
    </row>
    <row r="37" spans="1:4" x14ac:dyDescent="0.2">
      <c r="A37" s="110" t="str">
        <f t="shared" si="0"/>
        <v>Hofdünger</v>
      </c>
      <c r="B37" s="119" t="s">
        <v>519</v>
      </c>
      <c r="C37" s="221" t="s">
        <v>223</v>
      </c>
      <c r="D37" s="116" t="s">
        <v>608</v>
      </c>
    </row>
    <row r="38" spans="1:4" x14ac:dyDescent="0.2">
      <c r="A38" s="110" t="str">
        <f t="shared" si="0"/>
        <v>Eintrag organischer Substanz kompensieren</v>
      </c>
      <c r="B38" s="252" t="s">
        <v>808</v>
      </c>
      <c r="C38" s="221" t="s">
        <v>809</v>
      </c>
      <c r="D38" s="116" t="s">
        <v>799</v>
      </c>
    </row>
    <row r="39" spans="1:4" x14ac:dyDescent="0.2">
      <c r="A39" s="110" t="str">
        <f t="shared" si="0"/>
        <v>Datum Düngerpreise</v>
      </c>
      <c r="B39" s="119" t="s">
        <v>145</v>
      </c>
      <c r="C39" s="221" t="s">
        <v>362</v>
      </c>
      <c r="D39" s="116" t="s">
        <v>224</v>
      </c>
    </row>
    <row r="40" spans="1:4" ht="51" x14ac:dyDescent="0.2">
      <c r="A40" s="110" t="str">
        <f t="shared" si="0"/>
        <v xml:space="preserve">Die Makronährstoffgehalte des Komposts werden miteinberechnet. Damit sind der humusfördernde Effekt sowie die Mikronährstoffe des Hofdüngers grundsätzlich abgedeckt. </v>
      </c>
      <c r="B40" s="119" t="s">
        <v>790</v>
      </c>
      <c r="C40" s="221" t="s">
        <v>363</v>
      </c>
      <c r="D40" s="116" t="s">
        <v>225</v>
      </c>
    </row>
    <row r="41" spans="1:4" ht="38.25" x14ac:dyDescent="0.2">
      <c r="A41" s="110" t="str">
        <f t="shared" si="0"/>
        <v xml:space="preserve">In den gewählten Handelsdüngern sind Mg, Ca enthalten, womit sie in der Berechnung entfallen. </v>
      </c>
      <c r="B41" s="119" t="s">
        <v>78</v>
      </c>
      <c r="C41" s="110" t="s">
        <v>364</v>
      </c>
      <c r="D41" s="110" t="s">
        <v>226</v>
      </c>
    </row>
    <row r="42" spans="1:4" ht="28.5" x14ac:dyDescent="0.2">
      <c r="A42" s="110" t="str">
        <f t="shared" si="0"/>
        <v>Nverf, P2O5 und K2O sowie je nach Auswahl Organische Substanz werden 1:1 ersetzt.</v>
      </c>
      <c r="B42" s="252" t="s">
        <v>800</v>
      </c>
      <c r="C42" s="110" t="s">
        <v>365</v>
      </c>
      <c r="D42" s="110" t="s">
        <v>801</v>
      </c>
    </row>
    <row r="43" spans="1:4" ht="38.25" x14ac:dyDescent="0.2">
      <c r="A43" s="110" t="str">
        <f t="shared" si="0"/>
        <v>Die Stoffbilanz zeigt die Gehaltsdifferenzen zwischen dem gewählten Hofdünger und dem gerechneten Ersatz.</v>
      </c>
      <c r="B43" s="119" t="s">
        <v>791</v>
      </c>
      <c r="C43" s="110" t="s">
        <v>227</v>
      </c>
      <c r="D43" s="110" t="s">
        <v>228</v>
      </c>
    </row>
    <row r="44" spans="1:4" x14ac:dyDescent="0.2">
      <c r="A44" s="110" t="str">
        <f t="shared" si="0"/>
        <v>Hofdünger</v>
      </c>
      <c r="B44" s="119" t="s">
        <v>519</v>
      </c>
      <c r="C44" s="221" t="s">
        <v>223</v>
      </c>
      <c r="D44" s="116" t="s">
        <v>608</v>
      </c>
    </row>
    <row r="45" spans="1:4" x14ac:dyDescent="0.2">
      <c r="A45" s="110" t="str">
        <f t="shared" ref="A45:A76" si="1">IF(ISBLANK(B45),"",IF($A$2=1,B45,IF($A$2=2,C45,IF($A$2=3,D45,""))))</f>
        <v/>
      </c>
      <c r="B45" s="119"/>
      <c r="C45" s="221"/>
      <c r="D45" s="116"/>
    </row>
    <row r="46" spans="1:4" x14ac:dyDescent="0.2">
      <c r="A46" s="110" t="str">
        <f t="shared" si="1"/>
        <v/>
      </c>
      <c r="B46" s="119"/>
      <c r="C46" s="221"/>
      <c r="D46" s="116"/>
    </row>
    <row r="47" spans="1:4" x14ac:dyDescent="0.2">
      <c r="A47" s="110" t="str">
        <f t="shared" si="1"/>
        <v/>
      </c>
      <c r="B47" s="119"/>
      <c r="C47" s="221"/>
      <c r="D47" s="116"/>
    </row>
    <row r="48" spans="1:4" x14ac:dyDescent="0.2">
      <c r="A48" s="110" t="str">
        <f t="shared" si="1"/>
        <v>Zu ersetzende Nährstoffe</v>
      </c>
      <c r="B48" s="119" t="s">
        <v>143</v>
      </c>
      <c r="C48" s="221" t="s">
        <v>366</v>
      </c>
      <c r="D48" s="116" t="s">
        <v>229</v>
      </c>
    </row>
    <row r="49" spans="1:4" x14ac:dyDescent="0.2">
      <c r="A49" s="110" t="str">
        <f t="shared" si="1"/>
        <v xml:space="preserve">Rechnung nach </v>
      </c>
      <c r="B49" s="119" t="s">
        <v>807</v>
      </c>
      <c r="C49" s="221" t="s">
        <v>367</v>
      </c>
      <c r="D49" s="116" t="s">
        <v>230</v>
      </c>
    </row>
    <row r="50" spans="1:4" x14ac:dyDescent="0.2">
      <c r="A50" s="110" t="str">
        <f t="shared" si="1"/>
        <v>Eintrag organischer Substanz kompensieren</v>
      </c>
      <c r="B50" s="252" t="s">
        <v>808</v>
      </c>
      <c r="C50" s="221" t="s">
        <v>809</v>
      </c>
      <c r="D50" s="116" t="s">
        <v>799</v>
      </c>
    </row>
    <row r="51" spans="1:4" x14ac:dyDescent="0.2">
      <c r="A51" s="110" t="str">
        <f t="shared" si="1"/>
        <v/>
      </c>
      <c r="B51" s="119"/>
      <c r="C51" s="221"/>
      <c r="D51" s="116"/>
    </row>
    <row r="52" spans="1:4" x14ac:dyDescent="0.2">
      <c r="A52" s="110" t="str">
        <f t="shared" si="1"/>
        <v>Nährstoffersatzrechnung</v>
      </c>
      <c r="B52" s="119" t="s">
        <v>196</v>
      </c>
      <c r="C52" s="221" t="s">
        <v>368</v>
      </c>
      <c r="D52" s="116" t="s">
        <v>231</v>
      </c>
    </row>
    <row r="53" spans="1:4" x14ac:dyDescent="0.2">
      <c r="A53" s="110" t="str">
        <f t="shared" si="1"/>
        <v>Handelsdünger</v>
      </c>
      <c r="B53" s="119" t="s">
        <v>28</v>
      </c>
      <c r="C53" s="221" t="s">
        <v>232</v>
      </c>
      <c r="D53" s="116" t="s">
        <v>233</v>
      </c>
    </row>
    <row r="54" spans="1:4" x14ac:dyDescent="0.2">
      <c r="A54" s="110" t="str">
        <f t="shared" si="1"/>
        <v>Ammonsalpeter</v>
      </c>
      <c r="B54" s="119" t="s">
        <v>21</v>
      </c>
      <c r="C54" s="221" t="s">
        <v>802</v>
      </c>
      <c r="D54" s="116" t="s">
        <v>234</v>
      </c>
    </row>
    <row r="55" spans="1:4" x14ac:dyDescent="0.2">
      <c r="A55" s="110" t="str">
        <f t="shared" si="1"/>
        <v>Phosphatdünger</v>
      </c>
      <c r="B55" s="119" t="s">
        <v>22</v>
      </c>
      <c r="C55" s="221" t="s">
        <v>235</v>
      </c>
      <c r="D55" s="116" t="s">
        <v>236</v>
      </c>
    </row>
    <row r="56" spans="1:4" x14ac:dyDescent="0.2">
      <c r="A56" s="110" t="str">
        <f t="shared" si="1"/>
        <v>Kalisalz</v>
      </c>
      <c r="B56" s="119" t="s">
        <v>23</v>
      </c>
      <c r="C56" s="110" t="s">
        <v>369</v>
      </c>
      <c r="D56" s="116" t="s">
        <v>237</v>
      </c>
    </row>
    <row r="57" spans="1:4" x14ac:dyDescent="0.2">
      <c r="A57" s="110" t="str">
        <f t="shared" si="1"/>
        <v>Kompost</v>
      </c>
      <c r="B57" s="119" t="s">
        <v>34</v>
      </c>
      <c r="C57" s="221" t="s">
        <v>238</v>
      </c>
      <c r="D57" s="116" t="s">
        <v>238</v>
      </c>
    </row>
    <row r="58" spans="1:4" x14ac:dyDescent="0.2">
      <c r="A58" s="110" t="str">
        <f t="shared" si="1"/>
        <v>Bezug</v>
      </c>
      <c r="B58" s="119" t="s">
        <v>197</v>
      </c>
      <c r="C58" s="223" t="s">
        <v>370</v>
      </c>
      <c r="D58" s="116" t="s">
        <v>342</v>
      </c>
    </row>
    <row r="59" spans="1:4" x14ac:dyDescent="0.2">
      <c r="A59" s="110" t="str">
        <f t="shared" si="1"/>
        <v/>
      </c>
      <c r="B59" s="119"/>
      <c r="D59" s="116"/>
    </row>
    <row r="60" spans="1:4" s="113" customFormat="1" x14ac:dyDescent="0.2">
      <c r="A60" s="110" t="str">
        <f t="shared" si="1"/>
        <v/>
      </c>
      <c r="B60" s="119"/>
      <c r="C60" s="110"/>
      <c r="D60" s="116"/>
    </row>
    <row r="61" spans="1:4" x14ac:dyDescent="0.2">
      <c r="A61" s="110" t="str">
        <f t="shared" si="1"/>
        <v>Nährstoffbilanz</v>
      </c>
      <c r="B61" s="119" t="s">
        <v>605</v>
      </c>
      <c r="C61" s="110" t="s">
        <v>606</v>
      </c>
      <c r="D61" s="116" t="s">
        <v>607</v>
      </c>
    </row>
    <row r="62" spans="1:4" x14ac:dyDescent="0.2">
      <c r="A62" s="110" t="str">
        <f t="shared" si="1"/>
        <v/>
      </c>
      <c r="B62" s="119"/>
      <c r="C62" s="221"/>
      <c r="D62" s="116"/>
    </row>
    <row r="63" spans="1:4" x14ac:dyDescent="0.2">
      <c r="A63" s="110" t="str">
        <f t="shared" si="1"/>
        <v/>
      </c>
      <c r="B63" s="119"/>
      <c r="C63" s="221"/>
      <c r="D63" s="116"/>
    </row>
    <row r="65" spans="1:4" x14ac:dyDescent="0.2">
      <c r="A65" s="110" t="str">
        <f t="shared" si="1"/>
        <v>Bemerkungen</v>
      </c>
      <c r="B65" s="118" t="s">
        <v>142</v>
      </c>
      <c r="C65" s="221" t="s">
        <v>239</v>
      </c>
      <c r="D65" s="116" t="s">
        <v>240</v>
      </c>
    </row>
    <row r="66" spans="1:4" ht="51" x14ac:dyDescent="0.2">
      <c r="A66" s="110" t="str">
        <f t="shared" si="1"/>
        <v>Auswahl und Mittelwerte nach GRUD 17 Teil 4: "Eigenschaften und Anwendung von Düngern", die Werte zu Biogasgülle und -mist stammen von der Genossenschaft Ökostrom Schweiz.</v>
      </c>
      <c r="B66" s="119" t="s">
        <v>792</v>
      </c>
      <c r="C66" s="221" t="s">
        <v>803</v>
      </c>
      <c r="D66" s="116" t="s">
        <v>609</v>
      </c>
    </row>
    <row r="67" spans="1:4" ht="51" x14ac:dyDescent="0.2">
      <c r="A67" s="110" t="str">
        <f t="shared" si="1"/>
        <v>Bei Gülle wird mit einer Dichte von 1 t/m3 gerechnet, die Nährstoffwerte in kg/m3 entsprechen kg/t. Bei Mist müssen die Werte in kg/t eingegeben werden.</v>
      </c>
      <c r="B67" s="119" t="s">
        <v>793</v>
      </c>
      <c r="C67" s="139" t="s">
        <v>665</v>
      </c>
      <c r="D67" s="116" t="s">
        <v>661</v>
      </c>
    </row>
    <row r="68" spans="1:4" ht="51" x14ac:dyDescent="0.2">
      <c r="A68" s="110" t="str">
        <f t="shared" si="1"/>
        <v>Die Nährstoffbilanz ist nach Nverf, P2O5, K2O ausbalanciert. Für die anderen Nährstoffe gibt sie die Differenz zwischen Handelsdüngern und dem Hofdünger an.</v>
      </c>
      <c r="B68" s="119" t="s">
        <v>794</v>
      </c>
      <c r="C68" s="139" t="s">
        <v>610</v>
      </c>
      <c r="D68" s="134" t="s">
        <v>617</v>
      </c>
    </row>
    <row r="69" spans="1:4" ht="51" x14ac:dyDescent="0.2">
      <c r="A69" s="110" t="str">
        <f t="shared" si="1"/>
        <v>Je nach Hofdünger unterscheidet sich der langfristige Eintrag organischer Substanz. Es werden die Humusäquivalente nach VDLUFA*-Standpunkt 2014 verglichen.</v>
      </c>
      <c r="B69" s="252" t="s">
        <v>815</v>
      </c>
      <c r="C69" s="139" t="s">
        <v>816</v>
      </c>
      <c r="D69" s="116" t="s">
        <v>817</v>
      </c>
    </row>
    <row r="70" spans="1:4" x14ac:dyDescent="0.2">
      <c r="A70" s="110" t="str">
        <f t="shared" si="1"/>
        <v/>
      </c>
      <c r="B70" s="110"/>
    </row>
    <row r="71" spans="1:4" x14ac:dyDescent="0.2">
      <c r="A71" s="110" t="str">
        <f t="shared" si="1"/>
        <v>Nährstoff</v>
      </c>
      <c r="B71" s="123" t="str">
        <f>B79</f>
        <v>Nährstoff</v>
      </c>
      <c r="C71" s="221" t="s">
        <v>371</v>
      </c>
      <c r="D71" s="116" t="s">
        <v>242</v>
      </c>
    </row>
    <row r="72" spans="1:4" x14ac:dyDescent="0.2">
      <c r="A72" s="110" t="str">
        <f t="shared" si="1"/>
        <v>September 2022</v>
      </c>
      <c r="B72" s="124" t="s">
        <v>160</v>
      </c>
      <c r="C72" s="124" t="s">
        <v>427</v>
      </c>
      <c r="D72" s="116" t="s">
        <v>243</v>
      </c>
    </row>
    <row r="73" spans="1:4" x14ac:dyDescent="0.2">
      <c r="A73" s="110" t="str">
        <f t="shared" si="1"/>
        <v/>
      </c>
      <c r="B73" s="119"/>
      <c r="C73" s="221"/>
      <c r="D73" s="116"/>
    </row>
    <row r="74" spans="1:4" x14ac:dyDescent="0.2">
      <c r="A74" s="110" t="str">
        <f t="shared" si="1"/>
        <v>Bezeichnung</v>
      </c>
      <c r="B74" s="119" t="s">
        <v>42</v>
      </c>
      <c r="C74" s="221" t="s">
        <v>372</v>
      </c>
      <c r="D74" s="116" t="s">
        <v>244</v>
      </c>
    </row>
    <row r="75" spans="1:4" x14ac:dyDescent="0.2">
      <c r="A75" s="110" t="str">
        <f t="shared" si="1"/>
        <v>Ammonsalpeter 27% + Mg</v>
      </c>
      <c r="B75" s="119" t="s">
        <v>148</v>
      </c>
      <c r="C75" s="221" t="s">
        <v>245</v>
      </c>
      <c r="D75" s="116" t="s">
        <v>246</v>
      </c>
    </row>
    <row r="76" spans="1:4" x14ac:dyDescent="0.2">
      <c r="A76" s="110" t="str">
        <f t="shared" si="1"/>
        <v>Granuphos 18</v>
      </c>
      <c r="B76" s="119" t="s">
        <v>149</v>
      </c>
      <c r="C76" s="221" t="s">
        <v>406</v>
      </c>
      <c r="D76" s="116" t="s">
        <v>149</v>
      </c>
    </row>
    <row r="77" spans="1:4" x14ac:dyDescent="0.2">
      <c r="A77" s="110" t="str">
        <f t="shared" ref="A77:A108" si="2">IF(ISBLANK(B77),"",IF($A$2=1,B77,IF($A$2=2,C77,IF($A$2=3,D77,""))))</f>
        <v>Kali 60%</v>
      </c>
      <c r="B77" s="119" t="s">
        <v>44</v>
      </c>
      <c r="C77" s="221" t="s">
        <v>373</v>
      </c>
      <c r="D77" s="116" t="s">
        <v>247</v>
      </c>
    </row>
    <row r="78" spans="1:4" x14ac:dyDescent="0.2">
      <c r="A78" s="110" t="str">
        <f t="shared" si="2"/>
        <v>Grüngut Kompost</v>
      </c>
      <c r="B78" s="119" t="s">
        <v>76</v>
      </c>
      <c r="C78" s="221" t="s">
        <v>374</v>
      </c>
      <c r="D78" s="116" t="s">
        <v>248</v>
      </c>
    </row>
    <row r="79" spans="1:4" x14ac:dyDescent="0.2">
      <c r="A79" s="110" t="str">
        <f t="shared" si="2"/>
        <v>Nährstoff</v>
      </c>
      <c r="B79" s="119" t="s">
        <v>29</v>
      </c>
      <c r="C79" s="221" t="s">
        <v>241</v>
      </c>
      <c r="D79" s="116" t="s">
        <v>242</v>
      </c>
    </row>
    <row r="80" spans="1:4" x14ac:dyDescent="0.2">
      <c r="A80" s="110" t="str">
        <f t="shared" si="2"/>
        <v>Einheit</v>
      </c>
      <c r="B80" s="119" t="s">
        <v>27</v>
      </c>
      <c r="C80" s="221" t="s">
        <v>249</v>
      </c>
      <c r="D80" s="116" t="s">
        <v>250</v>
      </c>
    </row>
    <row r="81" spans="1:4" x14ac:dyDescent="0.2">
      <c r="A81" s="110" t="str">
        <f t="shared" si="2"/>
        <v>kg / m3</v>
      </c>
      <c r="B81" s="119" t="s">
        <v>433</v>
      </c>
      <c r="C81" s="221" t="s">
        <v>433</v>
      </c>
      <c r="D81" s="116" t="s">
        <v>433</v>
      </c>
    </row>
    <row r="82" spans="1:4" x14ac:dyDescent="0.2">
      <c r="A82" s="110" t="str">
        <f t="shared" si="2"/>
        <v>kg / t</v>
      </c>
      <c r="B82" s="119" t="s">
        <v>411</v>
      </c>
      <c r="C82" s="221" t="s">
        <v>411</v>
      </c>
      <c r="D82" s="116" t="s">
        <v>411</v>
      </c>
    </row>
    <row r="83" spans="1:4" ht="14.25" x14ac:dyDescent="0.2">
      <c r="A83" s="110" t="str">
        <f t="shared" si="2"/>
        <v>**Angenommene Dichte von Gülle: 1 t / m3</v>
      </c>
      <c r="B83" s="119" t="s">
        <v>442</v>
      </c>
      <c r="C83" s="139" t="s">
        <v>491</v>
      </c>
      <c r="D83" s="116" t="s">
        <v>618</v>
      </c>
    </row>
    <row r="84" spans="1:4" x14ac:dyDescent="0.2">
      <c r="A84" s="110" t="str">
        <f t="shared" si="2"/>
        <v>Menge</v>
      </c>
      <c r="B84" s="119" t="s">
        <v>199</v>
      </c>
      <c r="C84" s="110" t="s">
        <v>251</v>
      </c>
      <c r="D84" s="116" t="s">
        <v>252</v>
      </c>
    </row>
    <row r="85" spans="1:4" x14ac:dyDescent="0.2">
      <c r="A85" s="110" t="str">
        <f t="shared" si="2"/>
        <v>Preis</v>
      </c>
      <c r="B85" s="119" t="s">
        <v>198</v>
      </c>
      <c r="C85" s="221" t="s">
        <v>253</v>
      </c>
      <c r="D85" s="116" t="s">
        <v>254</v>
      </c>
    </row>
    <row r="86" spans="1:4" x14ac:dyDescent="0.2">
      <c r="A86" s="110" t="str">
        <f t="shared" si="2"/>
        <v>Nährstoffabgleich</v>
      </c>
      <c r="B86" s="119" t="s">
        <v>200</v>
      </c>
      <c r="C86" s="110" t="s">
        <v>375</v>
      </c>
      <c r="D86" s="110" t="s">
        <v>255</v>
      </c>
    </row>
    <row r="87" spans="1:4" x14ac:dyDescent="0.2">
      <c r="A87" s="110" t="str">
        <f t="shared" si="2"/>
        <v>Bitte nur Zahlen eingeben!</v>
      </c>
      <c r="B87" s="119" t="s">
        <v>436</v>
      </c>
      <c r="C87" s="224" t="s">
        <v>513</v>
      </c>
      <c r="D87" s="116" t="s">
        <v>514</v>
      </c>
    </row>
    <row r="88" spans="1:4" ht="14.25" x14ac:dyDescent="0.2">
      <c r="A88" s="110" t="str">
        <f t="shared" si="2"/>
        <v>CHF pro m3</v>
      </c>
      <c r="B88" s="119" t="s">
        <v>470</v>
      </c>
      <c r="C88" s="225" t="s">
        <v>472</v>
      </c>
      <c r="D88" s="136" t="s">
        <v>471</v>
      </c>
    </row>
    <row r="89" spans="1:4" x14ac:dyDescent="0.2">
      <c r="A89" s="110" t="str">
        <f t="shared" si="2"/>
        <v>CHF pro  t</v>
      </c>
      <c r="B89" s="119" t="s">
        <v>211</v>
      </c>
      <c r="C89" s="225" t="s">
        <v>376</v>
      </c>
      <c r="D89" s="116" t="s">
        <v>415</v>
      </c>
    </row>
    <row r="90" spans="1:4" x14ac:dyDescent="0.2">
      <c r="A90" s="110" t="str">
        <f t="shared" si="2"/>
        <v>kg / t</v>
      </c>
      <c r="B90" s="119" t="s">
        <v>411</v>
      </c>
      <c r="C90" s="226" t="s">
        <v>411</v>
      </c>
      <c r="D90" s="125" t="s">
        <v>619</v>
      </c>
    </row>
    <row r="91" spans="1:4" x14ac:dyDescent="0.2">
      <c r="A91" s="110" t="str">
        <f t="shared" si="2"/>
        <v>kg</v>
      </c>
      <c r="B91" s="119" t="s">
        <v>31</v>
      </c>
      <c r="C91" s="225" t="s">
        <v>31</v>
      </c>
      <c r="D91" s="116" t="s">
        <v>31</v>
      </c>
    </row>
    <row r="92" spans="1:4" s="113" customFormat="1" x14ac:dyDescent="0.2">
      <c r="A92" s="110" t="str">
        <f t="shared" si="2"/>
        <v>Summe</v>
      </c>
      <c r="B92" s="119" t="s">
        <v>176</v>
      </c>
      <c r="C92" s="225" t="s">
        <v>256</v>
      </c>
      <c r="D92" s="116" t="s">
        <v>257</v>
      </c>
    </row>
    <row r="93" spans="1:4" x14ac:dyDescent="0.2">
      <c r="A93" s="110" t="str">
        <f t="shared" si="2"/>
        <v>Differenz</v>
      </c>
      <c r="B93" s="119" t="s">
        <v>177</v>
      </c>
      <c r="C93" s="225" t="s">
        <v>258</v>
      </c>
      <c r="D93" s="116" t="s">
        <v>259</v>
      </c>
    </row>
    <row r="94" spans="1:4" x14ac:dyDescent="0.2">
      <c r="A94" s="110" t="str">
        <f t="shared" si="2"/>
        <v>TS</v>
      </c>
      <c r="B94" s="126" t="s">
        <v>9</v>
      </c>
      <c r="C94" s="227" t="s">
        <v>377</v>
      </c>
      <c r="D94" s="116" t="s">
        <v>260</v>
      </c>
    </row>
    <row r="95" spans="1:4" x14ac:dyDescent="0.2">
      <c r="A95" s="110" t="str">
        <f t="shared" si="2"/>
        <v>Glühverlust</v>
      </c>
      <c r="B95" s="126" t="s">
        <v>80</v>
      </c>
      <c r="C95" s="228" t="s">
        <v>428</v>
      </c>
      <c r="D95" s="116" t="s">
        <v>404</v>
      </c>
    </row>
    <row r="96" spans="1:4" x14ac:dyDescent="0.2">
      <c r="A96" s="110" t="str">
        <f t="shared" si="2"/>
        <v>(in % TS)</v>
      </c>
      <c r="B96" s="126" t="s">
        <v>144</v>
      </c>
      <c r="C96" s="227" t="s">
        <v>261</v>
      </c>
      <c r="D96" s="116" t="s">
        <v>262</v>
      </c>
    </row>
    <row r="97" spans="1:4" x14ac:dyDescent="0.2">
      <c r="A97" s="110" t="str">
        <f t="shared" si="2"/>
        <v>Humus äq</v>
      </c>
      <c r="B97" s="126" t="s">
        <v>592</v>
      </c>
      <c r="C97" s="229" t="s">
        <v>614</v>
      </c>
      <c r="D97" s="116" t="s">
        <v>779</v>
      </c>
    </row>
    <row r="98" spans="1:4" x14ac:dyDescent="0.2">
      <c r="A98" s="110" t="str">
        <f t="shared" si="2"/>
        <v>OS</v>
      </c>
      <c r="B98" s="126" t="s">
        <v>33</v>
      </c>
      <c r="C98" s="253" t="s">
        <v>804</v>
      </c>
      <c r="D98" s="116" t="s">
        <v>263</v>
      </c>
    </row>
    <row r="99" spans="1:4" ht="15.75" x14ac:dyDescent="0.3">
      <c r="A99" s="110" t="str">
        <f t="shared" si="2"/>
        <v>Nges</v>
      </c>
      <c r="B99" s="126" t="s">
        <v>26</v>
      </c>
      <c r="C99" s="227" t="s">
        <v>378</v>
      </c>
      <c r="D99" s="116" t="s">
        <v>620</v>
      </c>
    </row>
    <row r="100" spans="1:4" ht="15.75" x14ac:dyDescent="0.3">
      <c r="A100" s="110" t="str">
        <f t="shared" si="2"/>
        <v>Nverf</v>
      </c>
      <c r="B100" s="126" t="s">
        <v>11</v>
      </c>
      <c r="C100" s="227" t="s">
        <v>379</v>
      </c>
      <c r="D100" s="116" t="s">
        <v>264</v>
      </c>
    </row>
    <row r="101" spans="1:4" ht="15.75" x14ac:dyDescent="0.3">
      <c r="A101" s="110" t="str">
        <f t="shared" si="2"/>
        <v>P2O5</v>
      </c>
      <c r="B101" s="126" t="s">
        <v>265</v>
      </c>
      <c r="C101" s="227" t="s">
        <v>407</v>
      </c>
      <c r="D101" s="116" t="s">
        <v>265</v>
      </c>
    </row>
    <row r="102" spans="1:4" ht="15.75" x14ac:dyDescent="0.3">
      <c r="A102" s="110" t="str">
        <f t="shared" si="2"/>
        <v>K2O</v>
      </c>
      <c r="B102" s="126" t="s">
        <v>266</v>
      </c>
      <c r="C102" s="227" t="s">
        <v>266</v>
      </c>
      <c r="D102" s="116" t="s">
        <v>266</v>
      </c>
    </row>
    <row r="103" spans="1:4" x14ac:dyDescent="0.2">
      <c r="A103" s="110" t="str">
        <f t="shared" si="2"/>
        <v>Mg</v>
      </c>
      <c r="B103" s="126" t="s">
        <v>14</v>
      </c>
      <c r="C103" s="227" t="s">
        <v>14</v>
      </c>
      <c r="D103" s="116" t="s">
        <v>14</v>
      </c>
    </row>
    <row r="104" spans="1:4" x14ac:dyDescent="0.2">
      <c r="A104" s="110" t="str">
        <f t="shared" si="2"/>
        <v>Ca</v>
      </c>
      <c r="B104" s="126" t="s">
        <v>15</v>
      </c>
      <c r="C104" s="227" t="s">
        <v>15</v>
      </c>
      <c r="D104" s="116" t="s">
        <v>15</v>
      </c>
    </row>
    <row r="105" spans="1:4" x14ac:dyDescent="0.2">
      <c r="A105" s="110" t="str">
        <f t="shared" si="2"/>
        <v>CHF/ kg</v>
      </c>
      <c r="B105" s="119" t="s">
        <v>410</v>
      </c>
      <c r="C105" s="225" t="s">
        <v>410</v>
      </c>
      <c r="D105" s="116" t="s">
        <v>416</v>
      </c>
    </row>
    <row r="106" spans="1:4" x14ac:dyDescent="0.2">
      <c r="A106" s="110" t="str">
        <f t="shared" si="2"/>
        <v>Total</v>
      </c>
      <c r="B106" s="119" t="s">
        <v>25</v>
      </c>
      <c r="C106" s="225" t="s">
        <v>25</v>
      </c>
      <c r="D106" s="116" t="s">
        <v>267</v>
      </c>
    </row>
    <row r="107" spans="1:4" x14ac:dyDescent="0.2">
      <c r="A107" s="110" t="str">
        <f t="shared" si="2"/>
        <v>CHF / t</v>
      </c>
      <c r="B107" s="119" t="s">
        <v>412</v>
      </c>
      <c r="C107" s="226" t="s">
        <v>412</v>
      </c>
      <c r="D107" s="125" t="s">
        <v>415</v>
      </c>
    </row>
    <row r="108" spans="1:4" x14ac:dyDescent="0.2">
      <c r="A108" s="110" t="str">
        <f t="shared" si="2"/>
        <v>Keine Auswahl</v>
      </c>
      <c r="B108" s="127" t="s">
        <v>79</v>
      </c>
      <c r="C108" s="110" t="s">
        <v>380</v>
      </c>
      <c r="D108" s="116" t="s">
        <v>268</v>
      </c>
    </row>
    <row r="109" spans="1:4" x14ac:dyDescent="0.2">
      <c r="A109" s="110" t="str">
        <f t="shared" ref="A109:A140" si="3">IF(ISBLANK(B109),"",IF($A$2=1,B109,IF($A$2=2,C109,IF($A$2=3,D109,""))))</f>
        <v>Kühe/Rindviehaufzucht</v>
      </c>
      <c r="B109" s="127" t="s">
        <v>1</v>
      </c>
      <c r="C109" s="110" t="s">
        <v>381</v>
      </c>
      <c r="D109" s="116" t="s">
        <v>269</v>
      </c>
    </row>
    <row r="110" spans="1:4" x14ac:dyDescent="0.2">
      <c r="A110" s="110" t="str">
        <f t="shared" si="3"/>
        <v>Rindviehmast</v>
      </c>
      <c r="B110" s="127" t="s">
        <v>2</v>
      </c>
      <c r="C110" s="110" t="s">
        <v>382</v>
      </c>
      <c r="D110" s="116" t="s">
        <v>270</v>
      </c>
    </row>
    <row r="111" spans="1:4" x14ac:dyDescent="0.2">
      <c r="A111" s="110" t="str">
        <f t="shared" si="3"/>
        <v>Kälber</v>
      </c>
      <c r="B111" s="127" t="s">
        <v>3</v>
      </c>
      <c r="C111" s="110" t="s">
        <v>383</v>
      </c>
      <c r="D111" s="116" t="s">
        <v>271</v>
      </c>
    </row>
    <row r="112" spans="1:4" x14ac:dyDescent="0.2">
      <c r="A112" s="110" t="str">
        <f t="shared" si="3"/>
        <v>Pferde</v>
      </c>
      <c r="B112" s="127" t="s">
        <v>4</v>
      </c>
      <c r="C112" s="110" t="s">
        <v>384</v>
      </c>
      <c r="D112" s="116" t="s">
        <v>272</v>
      </c>
    </row>
    <row r="113" spans="1:4" x14ac:dyDescent="0.2">
      <c r="A113" s="110" t="str">
        <f t="shared" si="3"/>
        <v>Schafe/Ziegen</v>
      </c>
      <c r="B113" s="127" t="s">
        <v>5</v>
      </c>
      <c r="C113" s="221" t="s">
        <v>385</v>
      </c>
      <c r="D113" s="116" t="s">
        <v>273</v>
      </c>
    </row>
    <row r="114" spans="1:4" x14ac:dyDescent="0.2">
      <c r="A114" s="110" t="str">
        <f t="shared" si="3"/>
        <v>Schweine</v>
      </c>
      <c r="B114" s="127" t="s">
        <v>6</v>
      </c>
      <c r="C114" s="221" t="s">
        <v>386</v>
      </c>
      <c r="D114" s="116" t="s">
        <v>274</v>
      </c>
    </row>
    <row r="115" spans="1:4" x14ac:dyDescent="0.2">
      <c r="A115" s="110" t="str">
        <f t="shared" si="3"/>
        <v>Geflügel</v>
      </c>
      <c r="B115" s="127" t="s">
        <v>7</v>
      </c>
      <c r="C115" s="221" t="s">
        <v>275</v>
      </c>
      <c r="D115" s="116" t="s">
        <v>276</v>
      </c>
    </row>
    <row r="116" spans="1:4" x14ac:dyDescent="0.2">
      <c r="A116" s="110" t="str">
        <f t="shared" si="3"/>
        <v>Biogasanlage</v>
      </c>
      <c r="B116" s="127" t="s">
        <v>112</v>
      </c>
      <c r="C116" s="221" t="s">
        <v>277</v>
      </c>
      <c r="D116" s="116" t="s">
        <v>278</v>
      </c>
    </row>
    <row r="117" spans="1:4" x14ac:dyDescent="0.2">
      <c r="A117" s="110" t="str">
        <f t="shared" si="3"/>
        <v>Vollgülle</v>
      </c>
      <c r="B117" s="119" t="s">
        <v>43</v>
      </c>
      <c r="C117" s="220" t="s">
        <v>387</v>
      </c>
      <c r="D117" s="116" t="s">
        <v>279</v>
      </c>
    </row>
    <row r="118" spans="1:4" x14ac:dyDescent="0.2">
      <c r="A118" s="110" t="str">
        <f t="shared" si="3"/>
        <v>Gülle Kotarm</v>
      </c>
      <c r="B118" s="119" t="s">
        <v>172</v>
      </c>
      <c r="C118" s="220" t="s">
        <v>388</v>
      </c>
      <c r="D118" s="116" t="s">
        <v>280</v>
      </c>
    </row>
    <row r="119" spans="1:4" x14ac:dyDescent="0.2">
      <c r="A119" s="110" t="str">
        <f t="shared" si="3"/>
        <v>Stapelmist</v>
      </c>
      <c r="B119" s="119" t="s">
        <v>60</v>
      </c>
      <c r="C119" s="220" t="s">
        <v>389</v>
      </c>
      <c r="D119" s="116" t="s">
        <v>281</v>
      </c>
    </row>
    <row r="120" spans="1:4" x14ac:dyDescent="0.2">
      <c r="A120" s="110" t="str">
        <f t="shared" si="3"/>
        <v>Laufstallmist</v>
      </c>
      <c r="B120" s="119" t="s">
        <v>61</v>
      </c>
      <c r="C120" s="110" t="s">
        <v>282</v>
      </c>
      <c r="D120" s="116" t="s">
        <v>283</v>
      </c>
    </row>
    <row r="121" spans="1:4" x14ac:dyDescent="0.2">
      <c r="A121" s="110" t="str">
        <f t="shared" si="3"/>
        <v>Kälbermist</v>
      </c>
      <c r="B121" s="119" t="s">
        <v>62</v>
      </c>
      <c r="C121" s="221" t="s">
        <v>390</v>
      </c>
      <c r="D121" s="116" t="s">
        <v>284</v>
      </c>
    </row>
    <row r="122" spans="1:4" x14ac:dyDescent="0.2">
      <c r="A122" s="110" t="str">
        <f t="shared" si="3"/>
        <v>Vollgülle</v>
      </c>
      <c r="B122" s="119" t="s">
        <v>43</v>
      </c>
      <c r="C122" s="221" t="s">
        <v>387</v>
      </c>
      <c r="D122" s="116" t="s">
        <v>279</v>
      </c>
    </row>
    <row r="123" spans="1:4" x14ac:dyDescent="0.2">
      <c r="A123" s="110" t="str">
        <f t="shared" si="3"/>
        <v>Laufstallmist</v>
      </c>
      <c r="B123" s="119" t="s">
        <v>61</v>
      </c>
      <c r="C123" s="221" t="s">
        <v>282</v>
      </c>
      <c r="D123" s="116" t="s">
        <v>283</v>
      </c>
    </row>
    <row r="124" spans="1:4" x14ac:dyDescent="0.2">
      <c r="A124" s="110" t="str">
        <f t="shared" si="3"/>
        <v>Pferdemist Frisch</v>
      </c>
      <c r="B124" s="119" t="s">
        <v>795</v>
      </c>
      <c r="C124" s="221" t="s">
        <v>391</v>
      </c>
      <c r="D124" s="116" t="s">
        <v>285</v>
      </c>
    </row>
    <row r="125" spans="1:4" x14ac:dyDescent="0.2">
      <c r="A125" s="110" t="str">
        <f t="shared" si="3"/>
        <v>Pferdemist</v>
      </c>
      <c r="B125" s="119" t="s">
        <v>63</v>
      </c>
      <c r="C125" s="221" t="s">
        <v>392</v>
      </c>
      <c r="D125" s="116" t="s">
        <v>286</v>
      </c>
    </row>
    <row r="126" spans="1:4" x14ac:dyDescent="0.2">
      <c r="A126" s="110" t="str">
        <f t="shared" si="3"/>
        <v>Schaf-/Ziegenmist</v>
      </c>
      <c r="B126" s="119" t="s">
        <v>64</v>
      </c>
      <c r="C126" s="221" t="s">
        <v>287</v>
      </c>
      <c r="D126" s="116" t="s">
        <v>288</v>
      </c>
    </row>
    <row r="127" spans="1:4" x14ac:dyDescent="0.2">
      <c r="A127" s="110" t="str">
        <f t="shared" si="3"/>
        <v>Schweinegülle Mast</v>
      </c>
      <c r="B127" s="119" t="s">
        <v>65</v>
      </c>
      <c r="C127" s="221" t="s">
        <v>393</v>
      </c>
      <c r="D127" s="116" t="s">
        <v>289</v>
      </c>
    </row>
    <row r="128" spans="1:4" x14ac:dyDescent="0.2">
      <c r="A128" s="110" t="str">
        <f t="shared" si="3"/>
        <v>Schweinegülle Zucht</v>
      </c>
      <c r="B128" s="119" t="s">
        <v>66</v>
      </c>
      <c r="C128" s="221" t="s">
        <v>394</v>
      </c>
      <c r="D128" s="116" t="s">
        <v>290</v>
      </c>
    </row>
    <row r="129" spans="1:4" x14ac:dyDescent="0.2">
      <c r="A129" s="110" t="str">
        <f t="shared" si="3"/>
        <v>Schweinemist</v>
      </c>
      <c r="B129" s="119" t="s">
        <v>67</v>
      </c>
      <c r="C129" s="221" t="s">
        <v>291</v>
      </c>
      <c r="D129" s="116" t="s">
        <v>292</v>
      </c>
    </row>
    <row r="130" spans="1:4" x14ac:dyDescent="0.2">
      <c r="A130" s="110" t="str">
        <f t="shared" si="3"/>
        <v>Hennen (Kotband)</v>
      </c>
      <c r="B130" s="119" t="s">
        <v>70</v>
      </c>
      <c r="C130" s="220" t="s">
        <v>395</v>
      </c>
      <c r="D130" s="116" t="s">
        <v>293</v>
      </c>
    </row>
    <row r="131" spans="1:4" x14ac:dyDescent="0.2">
      <c r="A131" s="110" t="str">
        <f t="shared" si="3"/>
        <v>Hennen/Junghennenmist</v>
      </c>
      <c r="B131" s="119" t="s">
        <v>8</v>
      </c>
      <c r="C131" s="220" t="s">
        <v>396</v>
      </c>
      <c r="D131" s="116" t="s">
        <v>294</v>
      </c>
    </row>
    <row r="132" spans="1:4" x14ac:dyDescent="0.2">
      <c r="A132" s="110" t="str">
        <f t="shared" si="3"/>
        <v>Pouletmist</v>
      </c>
      <c r="B132" s="119" t="s">
        <v>69</v>
      </c>
      <c r="C132" s="221" t="s">
        <v>397</v>
      </c>
      <c r="D132" s="128" t="s">
        <v>295</v>
      </c>
    </row>
    <row r="133" spans="1:4" x14ac:dyDescent="0.2">
      <c r="A133" s="110" t="str">
        <f t="shared" si="3"/>
        <v>Trutenmist</v>
      </c>
      <c r="B133" s="119" t="s">
        <v>68</v>
      </c>
      <c r="C133" s="221" t="s">
        <v>296</v>
      </c>
      <c r="D133" s="128" t="s">
        <v>297</v>
      </c>
    </row>
    <row r="134" spans="1:4" x14ac:dyDescent="0.2">
      <c r="A134" s="110" t="str">
        <f t="shared" si="3"/>
        <v>Gärgülle</v>
      </c>
      <c r="B134" s="119" t="s">
        <v>191</v>
      </c>
      <c r="C134" s="220" t="s">
        <v>398</v>
      </c>
      <c r="D134" s="116" t="s">
        <v>298</v>
      </c>
    </row>
    <row r="135" spans="1:4" x14ac:dyDescent="0.2">
      <c r="A135" s="110" t="str">
        <f t="shared" si="3"/>
        <v>Gärmist</v>
      </c>
      <c r="B135" s="119" t="s">
        <v>192</v>
      </c>
      <c r="C135" s="220" t="s">
        <v>399</v>
      </c>
      <c r="D135" s="110" t="s">
        <v>299</v>
      </c>
    </row>
    <row r="136" spans="1:4" x14ac:dyDescent="0.2">
      <c r="A136" s="110" t="str">
        <f t="shared" si="3"/>
        <v>Ungültige Kombination</v>
      </c>
      <c r="B136" s="118" t="s">
        <v>203</v>
      </c>
      <c r="C136" s="110" t="s">
        <v>408</v>
      </c>
      <c r="D136" s="116" t="s">
        <v>300</v>
      </c>
    </row>
    <row r="137" spans="1:4" x14ac:dyDescent="0.2">
      <c r="A137" s="110" t="str">
        <f t="shared" si="3"/>
        <v>Eigene Analyse</v>
      </c>
      <c r="B137" s="118" t="s">
        <v>217</v>
      </c>
      <c r="C137" s="230" t="s">
        <v>400</v>
      </c>
      <c r="D137" s="116" t="s">
        <v>302</v>
      </c>
    </row>
    <row r="138" spans="1:4" x14ac:dyDescent="0.2">
      <c r="A138" s="110" t="str">
        <f t="shared" si="3"/>
        <v>Mittelwerte</v>
      </c>
      <c r="B138" s="118" t="s">
        <v>202</v>
      </c>
      <c r="C138" s="129" t="s">
        <v>401</v>
      </c>
      <c r="D138" s="116" t="s">
        <v>303</v>
      </c>
    </row>
    <row r="139" spans="1:4" x14ac:dyDescent="0.2">
      <c r="A139" s="110" t="str">
        <f t="shared" si="3"/>
        <v>Eigene Analyse</v>
      </c>
      <c r="B139" s="118" t="s">
        <v>217</v>
      </c>
      <c r="C139" s="129" t="s">
        <v>301</v>
      </c>
      <c r="D139" s="116" t="s">
        <v>302</v>
      </c>
    </row>
    <row r="140" spans="1:4" x14ac:dyDescent="0.2">
      <c r="A140" s="110" t="str">
        <f t="shared" si="3"/>
        <v>Ja</v>
      </c>
      <c r="B140" s="118" t="s">
        <v>193</v>
      </c>
      <c r="C140" s="129" t="s">
        <v>304</v>
      </c>
      <c r="D140" s="116" t="s">
        <v>305</v>
      </c>
    </row>
    <row r="141" spans="1:4" x14ac:dyDescent="0.2">
      <c r="A141" s="110" t="str">
        <f t="shared" ref="A141:A172" si="4">IF(ISBLANK(B141),"",IF($A$2=1,B141,IF($A$2=2,C141,IF($A$2=3,D141,""))))</f>
        <v>Nein</v>
      </c>
      <c r="B141" s="118" t="s">
        <v>195</v>
      </c>
      <c r="C141" s="110" t="s">
        <v>306</v>
      </c>
      <c r="D141" s="110" t="s">
        <v>307</v>
      </c>
    </row>
    <row r="142" spans="1:4" x14ac:dyDescent="0.2">
      <c r="A142" s="110" t="str">
        <f t="shared" si="4"/>
        <v>Analyse</v>
      </c>
      <c r="B142" s="121" t="s">
        <v>215</v>
      </c>
      <c r="C142" s="140" t="s">
        <v>215</v>
      </c>
      <c r="D142" s="110" t="s">
        <v>418</v>
      </c>
    </row>
    <row r="143" spans="1:4" x14ac:dyDescent="0.2">
      <c r="A143" s="110" t="str">
        <f t="shared" si="4"/>
        <v>Mittelwerte GRUD 17</v>
      </c>
      <c r="B143" s="121" t="s">
        <v>210</v>
      </c>
      <c r="C143" s="140" t="s">
        <v>429</v>
      </c>
      <c r="D143" s="110" t="s">
        <v>420</v>
      </c>
    </row>
    <row r="144" spans="1:4" x14ac:dyDescent="0.2">
      <c r="A144" s="110" t="str">
        <f t="shared" si="4"/>
        <v>Mittelwerte Ökostrom</v>
      </c>
      <c r="B144" s="118" t="s">
        <v>212</v>
      </c>
      <c r="C144" s="139" t="s">
        <v>402</v>
      </c>
      <c r="D144" s="110" t="s">
        <v>419</v>
      </c>
    </row>
    <row r="145" spans="1:4" x14ac:dyDescent="0.2">
      <c r="A145" s="110" t="str">
        <f t="shared" si="4"/>
        <v>GRUD 17</v>
      </c>
      <c r="B145" s="121" t="s">
        <v>194</v>
      </c>
      <c r="C145" s="139" t="s">
        <v>430</v>
      </c>
      <c r="D145" s="110" t="s">
        <v>421</v>
      </c>
    </row>
    <row r="146" spans="1:4" x14ac:dyDescent="0.2">
      <c r="A146" s="110" t="str">
        <f t="shared" si="4"/>
        <v>Ökostrom Schweiz</v>
      </c>
      <c r="B146" s="110" t="s">
        <v>422</v>
      </c>
      <c r="C146" s="139" t="s">
        <v>811</v>
      </c>
      <c r="D146" s="110" t="s">
        <v>422</v>
      </c>
    </row>
    <row r="147" spans="1:4" x14ac:dyDescent="0.2">
      <c r="A147" s="110" t="str">
        <f t="shared" si="4"/>
        <v/>
      </c>
      <c r="B147" s="121"/>
    </row>
    <row r="148" spans="1:4" x14ac:dyDescent="0.2">
      <c r="A148" s="110" t="str">
        <f t="shared" si="4"/>
        <v xml:space="preserve">Hofdüngeranalyse </v>
      </c>
      <c r="B148" s="120" t="s">
        <v>214</v>
      </c>
      <c r="C148" s="254" t="s">
        <v>810</v>
      </c>
      <c r="D148" s="137" t="s">
        <v>409</v>
      </c>
    </row>
    <row r="149" spans="1:4" x14ac:dyDescent="0.2">
      <c r="A149" s="110" t="str">
        <f t="shared" si="4"/>
        <v>hier erfassen</v>
      </c>
      <c r="B149" s="120" t="s">
        <v>213</v>
      </c>
      <c r="C149" s="254" t="s">
        <v>805</v>
      </c>
      <c r="D149" s="136" t="s">
        <v>417</v>
      </c>
    </row>
    <row r="150" spans="1:4" x14ac:dyDescent="0.2">
      <c r="A150" s="110" t="str">
        <f t="shared" si="4"/>
        <v/>
      </c>
      <c r="B150" s="116"/>
      <c r="C150" s="113"/>
      <c r="D150" s="122"/>
    </row>
    <row r="151" spans="1:4" x14ac:dyDescent="0.2">
      <c r="A151" s="110" t="str">
        <f t="shared" si="4"/>
        <v>Januar</v>
      </c>
      <c r="B151" s="116" t="s">
        <v>308</v>
      </c>
      <c r="C151" s="221" t="s">
        <v>309</v>
      </c>
      <c r="D151" s="115" t="s">
        <v>310</v>
      </c>
    </row>
    <row r="152" spans="1:4" x14ac:dyDescent="0.2">
      <c r="A152" s="110" t="str">
        <f t="shared" si="4"/>
        <v>Februar</v>
      </c>
      <c r="B152" s="116" t="s">
        <v>311</v>
      </c>
      <c r="C152" s="221" t="s">
        <v>312</v>
      </c>
      <c r="D152" s="115" t="s">
        <v>313</v>
      </c>
    </row>
    <row r="153" spans="1:4" x14ac:dyDescent="0.2">
      <c r="A153" s="110" t="str">
        <f t="shared" si="4"/>
        <v>März</v>
      </c>
      <c r="B153" s="116" t="s">
        <v>314</v>
      </c>
      <c r="C153" s="221" t="s">
        <v>315</v>
      </c>
      <c r="D153" s="115" t="s">
        <v>316</v>
      </c>
    </row>
    <row r="154" spans="1:4" x14ac:dyDescent="0.2">
      <c r="A154" s="110" t="str">
        <f t="shared" si="4"/>
        <v>April</v>
      </c>
      <c r="B154" s="116" t="s">
        <v>317</v>
      </c>
      <c r="C154" s="221" t="s">
        <v>318</v>
      </c>
      <c r="D154" s="115" t="s">
        <v>319</v>
      </c>
    </row>
    <row r="155" spans="1:4" x14ac:dyDescent="0.2">
      <c r="A155" s="110" t="str">
        <f t="shared" si="4"/>
        <v>Mai</v>
      </c>
      <c r="B155" s="116" t="s">
        <v>320</v>
      </c>
      <c r="C155" s="221" t="s">
        <v>317</v>
      </c>
      <c r="D155" s="115" t="s">
        <v>321</v>
      </c>
    </row>
    <row r="156" spans="1:4" x14ac:dyDescent="0.2">
      <c r="A156" s="110" t="str">
        <f t="shared" si="4"/>
        <v>Juni</v>
      </c>
      <c r="B156" s="116" t="s">
        <v>322</v>
      </c>
      <c r="C156" s="221" t="s">
        <v>323</v>
      </c>
      <c r="D156" s="115" t="s">
        <v>324</v>
      </c>
    </row>
    <row r="157" spans="1:4" x14ac:dyDescent="0.2">
      <c r="A157" s="110" t="str">
        <f t="shared" si="4"/>
        <v>Juli</v>
      </c>
      <c r="B157" s="116" t="s">
        <v>325</v>
      </c>
      <c r="C157" s="221" t="s">
        <v>326</v>
      </c>
      <c r="D157" s="115" t="s">
        <v>327</v>
      </c>
    </row>
    <row r="158" spans="1:4" x14ac:dyDescent="0.2">
      <c r="A158" s="110" t="str">
        <f t="shared" si="4"/>
        <v>August</v>
      </c>
      <c r="B158" s="116" t="s">
        <v>328</v>
      </c>
      <c r="C158" s="221" t="s">
        <v>329</v>
      </c>
      <c r="D158" s="115" t="s">
        <v>330</v>
      </c>
    </row>
    <row r="159" spans="1:4" x14ac:dyDescent="0.2">
      <c r="A159" s="110" t="str">
        <f t="shared" si="4"/>
        <v>September</v>
      </c>
      <c r="B159" s="116" t="s">
        <v>331</v>
      </c>
      <c r="C159" s="221" t="s">
        <v>332</v>
      </c>
      <c r="D159" s="115" t="s">
        <v>333</v>
      </c>
    </row>
    <row r="160" spans="1:4" x14ac:dyDescent="0.2">
      <c r="A160" s="110" t="str">
        <f t="shared" si="4"/>
        <v>Oktober</v>
      </c>
      <c r="B160" s="116" t="s">
        <v>334</v>
      </c>
      <c r="C160" s="221" t="s">
        <v>335</v>
      </c>
      <c r="D160" s="115" t="s">
        <v>336</v>
      </c>
    </row>
    <row r="161" spans="1:4" x14ac:dyDescent="0.2">
      <c r="A161" s="110" t="str">
        <f t="shared" si="4"/>
        <v>November</v>
      </c>
      <c r="B161" s="116" t="s">
        <v>337</v>
      </c>
      <c r="C161" s="221" t="s">
        <v>403</v>
      </c>
      <c r="D161" s="115" t="s">
        <v>338</v>
      </c>
    </row>
    <row r="162" spans="1:4" x14ac:dyDescent="0.2">
      <c r="A162" s="110" t="str">
        <f t="shared" si="4"/>
        <v>Dezember</v>
      </c>
      <c r="B162" s="116" t="s">
        <v>339</v>
      </c>
      <c r="C162" s="110" t="s">
        <v>340</v>
      </c>
      <c r="D162" s="115" t="s">
        <v>341</v>
      </c>
    </row>
    <row r="163" spans="1:4" x14ac:dyDescent="0.2">
      <c r="A163" s="110" t="str">
        <f t="shared" si="4"/>
        <v/>
      </c>
      <c r="B163" s="118"/>
    </row>
    <row r="164" spans="1:4" x14ac:dyDescent="0.2">
      <c r="A164" s="110" t="str">
        <f t="shared" si="4"/>
        <v>Keine</v>
      </c>
      <c r="B164" s="234" t="s">
        <v>478</v>
      </c>
      <c r="C164" s="139" t="s">
        <v>492</v>
      </c>
      <c r="D164" s="110" t="s">
        <v>498</v>
      </c>
    </row>
    <row r="165" spans="1:4" x14ac:dyDescent="0.2">
      <c r="A165" s="110" t="str">
        <f t="shared" si="4"/>
        <v>1:1</v>
      </c>
      <c r="B165" s="235" t="s">
        <v>476</v>
      </c>
      <c r="C165" s="231" t="s">
        <v>476</v>
      </c>
      <c r="D165" s="167" t="s">
        <v>476</v>
      </c>
    </row>
    <row r="166" spans="1:4" x14ac:dyDescent="0.2">
      <c r="A166" s="110" t="str">
        <f t="shared" si="4"/>
        <v>1:2</v>
      </c>
      <c r="B166" s="236" t="s">
        <v>477</v>
      </c>
      <c r="C166" s="232" t="s">
        <v>477</v>
      </c>
      <c r="D166" s="168" t="s">
        <v>477</v>
      </c>
    </row>
    <row r="167" spans="1:4" x14ac:dyDescent="0.2">
      <c r="A167" s="110" t="str">
        <f t="shared" si="4"/>
        <v/>
      </c>
      <c r="B167" s="118"/>
      <c r="C167" s="139"/>
    </row>
    <row r="168" spans="1:4" x14ac:dyDescent="0.2">
      <c r="A168" s="110" t="str">
        <f t="shared" si="4"/>
        <v>Verdünnung</v>
      </c>
      <c r="B168" s="118" t="s">
        <v>475</v>
      </c>
      <c r="C168" s="139" t="s">
        <v>493</v>
      </c>
      <c r="D168" s="110" t="s">
        <v>499</v>
      </c>
    </row>
    <row r="169" spans="1:4" x14ac:dyDescent="0.2">
      <c r="A169" s="110" t="str">
        <f t="shared" si="4"/>
        <v>Mist kann nicht verdünnt werden!</v>
      </c>
      <c r="B169" s="118" t="s">
        <v>484</v>
      </c>
      <c r="C169" s="139" t="s">
        <v>494</v>
      </c>
      <c r="D169" s="110" t="s">
        <v>500</v>
      </c>
    </row>
    <row r="170" spans="1:4" ht="25.5" x14ac:dyDescent="0.2">
      <c r="A170" s="110" t="str">
        <f t="shared" si="4"/>
        <v>Anhang: Einbezug emisssionsmindernden Ausbringungsverfahren bei Gülle</v>
      </c>
      <c r="B170" s="118" t="s">
        <v>812</v>
      </c>
      <c r="C170" s="139" t="s">
        <v>663</v>
      </c>
      <c r="D170" s="243" t="s">
        <v>668</v>
      </c>
    </row>
    <row r="171" spans="1:4" ht="51" x14ac:dyDescent="0.2">
      <c r="A171" s="110" t="str">
        <f t="shared" si="4"/>
        <v>Die Berechnung des Nährstoffwertes von Stickstoff ausgebrachter Hofdünger auf der Basis der Suisse-Bilanz und GRUD 17 geht noch von einer Düngung mit Breitverteiler aus.</v>
      </c>
      <c r="B171" s="233" t="s">
        <v>488</v>
      </c>
      <c r="C171" s="171" t="s">
        <v>806</v>
      </c>
      <c r="D171" s="110" t="s">
        <v>625</v>
      </c>
    </row>
    <row r="172" spans="1:4" ht="51" x14ac:dyDescent="0.2">
      <c r="A172" s="110" t="str">
        <f t="shared" si="4"/>
        <v>Mit dem Einsatz von emissionsmindernden Ausbringungsverfahren verringern sich die Ammoniakverluste, entsprechend wird mehr pflanzenverfügbares Ammonium ausgebracht.</v>
      </c>
      <c r="B172" s="233" t="s">
        <v>796</v>
      </c>
      <c r="C172" s="171" t="s">
        <v>495</v>
      </c>
      <c r="D172" s="110" t="s">
        <v>621</v>
      </c>
    </row>
    <row r="173" spans="1:4" ht="25.5" x14ac:dyDescent="0.2">
      <c r="A173" s="110" t="str">
        <f t="shared" ref="A173:A198" si="5">IF(ISBLANK(B173),"",IF($A$2=1,B173,IF($A$2=2,C173,IF($A$2=3,D173,""))))</f>
        <v>Damit erhöht sich auch der Wert der ausgebrachten Gülle.</v>
      </c>
      <c r="B173" s="233" t="s">
        <v>662</v>
      </c>
      <c r="C173" s="171" t="s">
        <v>496</v>
      </c>
      <c r="D173" s="110" t="s">
        <v>501</v>
      </c>
    </row>
    <row r="174" spans="1:4" x14ac:dyDescent="0.2">
      <c r="A174" s="110" t="str">
        <f t="shared" si="5"/>
        <v/>
      </c>
      <c r="B174" s="233"/>
      <c r="C174" s="171"/>
      <c r="D174" s="139"/>
    </row>
    <row r="175" spans="1:4" x14ac:dyDescent="0.2">
      <c r="A175" s="110" t="str">
        <f t="shared" si="5"/>
        <v/>
      </c>
      <c r="B175" s="233"/>
      <c r="C175" s="139"/>
      <c r="D175" s="139"/>
    </row>
    <row r="176" spans="1:4" ht="25.5" x14ac:dyDescent="0.2">
      <c r="A176" s="110" t="str">
        <f t="shared" si="5"/>
        <v>Werterhöhung beim Einsatz emissionmindernden Ausbringverfahren</v>
      </c>
      <c r="B176" s="237" t="s">
        <v>797</v>
      </c>
      <c r="C176" s="139" t="s">
        <v>734</v>
      </c>
      <c r="D176" s="240" t="s">
        <v>735</v>
      </c>
    </row>
    <row r="177" spans="1:251" x14ac:dyDescent="0.2">
      <c r="A177" s="110" t="str">
        <f t="shared" si="5"/>
        <v/>
      </c>
      <c r="B177" s="233"/>
      <c r="C177" s="139"/>
      <c r="D177" s="139"/>
    </row>
    <row r="178" spans="1:251" ht="51" x14ac:dyDescent="0.2">
      <c r="A178" s="110" t="str">
        <f t="shared" si="5"/>
        <v>Abb. 1: Werterhöhung bei Ausbringung mittels Schleppschlauch, Schleppschuh und Gülledrill nach dem Agrammon-Modell.</v>
      </c>
      <c r="B178" s="233" t="s">
        <v>667</v>
      </c>
      <c r="C178" s="139" t="s">
        <v>611</v>
      </c>
      <c r="D178" s="110" t="s">
        <v>669</v>
      </c>
    </row>
    <row r="179" spans="1:251" ht="51" x14ac:dyDescent="0.2">
      <c r="A179" s="110" t="str">
        <f t="shared" si="5"/>
        <v>Diese Verfahren sind nur für flüssige Hofdünger geeignet! Mist sollte gut verteilt und nach Möglichkeit eingearbeitet werden, um Emissionen zu verhinden und den Wert zu erhöhen.</v>
      </c>
      <c r="B179" s="233" t="s">
        <v>798</v>
      </c>
      <c r="C179" s="171" t="s">
        <v>497</v>
      </c>
      <c r="D179" s="110" t="s">
        <v>664</v>
      </c>
    </row>
    <row r="180" spans="1:251" x14ac:dyDescent="0.2">
      <c r="A180" s="110" t="str">
        <f t="shared" si="5"/>
        <v/>
      </c>
      <c r="B180" s="233"/>
      <c r="C180" s="113"/>
    </row>
    <row r="181" spans="1:251" x14ac:dyDescent="0.2">
      <c r="A181" s="110" t="str">
        <f t="shared" si="5"/>
        <v>Breitverteiler</v>
      </c>
      <c r="B181" s="238" t="s">
        <v>447</v>
      </c>
      <c r="C181" s="139" t="s">
        <v>508</v>
      </c>
      <c r="D181" s="110" t="s">
        <v>626</v>
      </c>
    </row>
    <row r="182" spans="1:251" x14ac:dyDescent="0.2">
      <c r="A182" s="110" t="str">
        <f t="shared" si="5"/>
        <v>Schleppschlauch</v>
      </c>
      <c r="B182" s="239" t="s">
        <v>444</v>
      </c>
      <c r="C182" s="139" t="s">
        <v>509</v>
      </c>
      <c r="D182" s="110" t="s">
        <v>622</v>
      </c>
    </row>
    <row r="183" spans="1:251" x14ac:dyDescent="0.2">
      <c r="A183" s="110" t="str">
        <f t="shared" si="5"/>
        <v>Schleppschuh</v>
      </c>
      <c r="B183" s="239" t="s">
        <v>445</v>
      </c>
      <c r="C183" s="139" t="s">
        <v>510</v>
      </c>
      <c r="D183" s="110" t="s">
        <v>623</v>
      </c>
    </row>
    <row r="184" spans="1:251" x14ac:dyDescent="0.2">
      <c r="A184" s="110" t="str">
        <f t="shared" si="5"/>
        <v>Gülledrill</v>
      </c>
      <c r="B184" s="239" t="s">
        <v>446</v>
      </c>
      <c r="C184" s="139" t="s">
        <v>612</v>
      </c>
      <c r="D184" s="110" t="s">
        <v>624</v>
      </c>
    </row>
    <row r="185" spans="1:251" x14ac:dyDescent="0.2">
      <c r="A185" s="110" t="str">
        <f t="shared" si="5"/>
        <v/>
      </c>
      <c r="B185" s="233"/>
    </row>
    <row r="186" spans="1:251" x14ac:dyDescent="0.2">
      <c r="A186" s="110" t="str">
        <f t="shared" si="5"/>
        <v>CHF</v>
      </c>
      <c r="B186" s="233" t="s">
        <v>512</v>
      </c>
      <c r="C186" s="233" t="s">
        <v>512</v>
      </c>
      <c r="D186" s="60" t="s">
        <v>512</v>
      </c>
    </row>
    <row r="187" spans="1:251" x14ac:dyDescent="0.2">
      <c r="A187" s="110" t="str">
        <f t="shared" si="5"/>
        <v/>
      </c>
      <c r="B187" s="233"/>
    </row>
    <row r="188" spans="1:251" x14ac:dyDescent="0.2">
      <c r="A188" s="110" t="str">
        <f t="shared" si="5"/>
        <v/>
      </c>
      <c r="B188" s="233"/>
    </row>
    <row r="189" spans="1:251" x14ac:dyDescent="0.2">
      <c r="A189" s="110" t="str">
        <f t="shared" si="5"/>
        <v/>
      </c>
      <c r="B189" s="118"/>
    </row>
    <row r="190" spans="1:251" ht="51" x14ac:dyDescent="0.2">
      <c r="A190" s="110" t="str">
        <f t="shared" si="5"/>
        <v xml:space="preserve">Es wird der monetäre Wert der innerhalb von drei Jahren verfügbaren Nährstoffen ausgebrachter Hofdünger anhand aktuellen Handelsdüngerpreisen errechnet. </v>
      </c>
      <c r="B190" s="242" t="s">
        <v>666</v>
      </c>
      <c r="C190" s="139" t="s">
        <v>660</v>
      </c>
      <c r="D190" s="243" t="s">
        <v>670</v>
      </c>
    </row>
    <row r="191" spans="1:251" ht="63.75" x14ac:dyDescent="0.2">
      <c r="A191" s="110" t="str">
        <f t="shared" si="5"/>
        <v>Die Kosten der Lagerung, Überführung und Ausbringung sind nicht miteinbezogen. Auf die regionale Situation sowie marktspezifischen Faktoren wie Angebot und Nachfrage kann nicht eingegangen werden.</v>
      </c>
      <c r="B191" s="118" t="s">
        <v>659</v>
      </c>
      <c r="C191" s="139" t="s">
        <v>658</v>
      </c>
      <c r="D191" s="243" t="s">
        <v>671</v>
      </c>
    </row>
    <row r="192" spans="1:251" x14ac:dyDescent="0.2">
      <c r="A192" s="110" t="str">
        <f t="shared" si="5"/>
        <v/>
      </c>
      <c r="B192" s="118"/>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0"/>
      <c r="BK192" s="130"/>
      <c r="BL192" s="130"/>
      <c r="BM192" s="130"/>
      <c r="BN192" s="130"/>
      <c r="BO192" s="130"/>
      <c r="BP192" s="130"/>
      <c r="BQ192" s="130"/>
      <c r="BR192" s="130"/>
      <c r="BS192" s="130"/>
      <c r="BT192" s="130"/>
      <c r="BU192" s="130"/>
      <c r="BV192" s="130"/>
      <c r="BW192" s="130"/>
      <c r="BX192" s="130"/>
      <c r="BY192" s="130"/>
      <c r="BZ192" s="130"/>
      <c r="CA192" s="130"/>
      <c r="CB192" s="130"/>
      <c r="CC192" s="130"/>
      <c r="CD192" s="130"/>
      <c r="CE192" s="130"/>
      <c r="CF192" s="130"/>
      <c r="CG192" s="130"/>
      <c r="CH192" s="130"/>
      <c r="CI192" s="130"/>
      <c r="CJ192" s="130"/>
      <c r="CK192" s="130"/>
      <c r="CL192" s="130"/>
      <c r="CM192" s="130"/>
      <c r="CN192" s="130"/>
      <c r="CO192" s="130"/>
      <c r="CP192" s="130"/>
      <c r="CQ192" s="130"/>
      <c r="CR192" s="130"/>
      <c r="CS192" s="130"/>
      <c r="CT192" s="130"/>
      <c r="CU192" s="130"/>
      <c r="CV192" s="130"/>
      <c r="CW192" s="130"/>
      <c r="CX192" s="130"/>
      <c r="CY192" s="130"/>
      <c r="CZ192" s="130"/>
      <c r="DA192" s="130"/>
      <c r="DB192" s="130"/>
      <c r="DC192" s="130"/>
      <c r="DD192" s="130"/>
      <c r="DE192" s="130"/>
      <c r="DF192" s="130"/>
      <c r="DG192" s="130"/>
      <c r="DH192" s="130"/>
      <c r="DI192" s="130"/>
      <c r="DJ192" s="130"/>
      <c r="DK192" s="130"/>
      <c r="DL192" s="130"/>
      <c r="DM192" s="130"/>
      <c r="DN192" s="130"/>
      <c r="DO192" s="130"/>
      <c r="DP192" s="130"/>
      <c r="DQ192" s="130"/>
      <c r="DR192" s="130"/>
      <c r="DS192" s="130"/>
      <c r="DT192" s="130"/>
      <c r="DU192" s="130"/>
      <c r="DV192" s="130"/>
      <c r="DW192" s="130"/>
      <c r="DX192" s="130"/>
      <c r="DY192" s="130"/>
      <c r="DZ192" s="130"/>
      <c r="EA192" s="130"/>
      <c r="EB192" s="130"/>
      <c r="EC192" s="130"/>
      <c r="ED192" s="130"/>
      <c r="EE192" s="130"/>
      <c r="EF192" s="130"/>
      <c r="EG192" s="130"/>
      <c r="EH192" s="130"/>
      <c r="EI192" s="130"/>
      <c r="EJ192" s="130"/>
      <c r="EK192" s="130"/>
      <c r="EL192" s="130"/>
      <c r="EM192" s="130"/>
      <c r="EN192" s="130"/>
      <c r="EO192" s="130"/>
      <c r="EP192" s="130"/>
      <c r="EQ192" s="130"/>
      <c r="ER192" s="130"/>
      <c r="ES192" s="130"/>
      <c r="ET192" s="130"/>
      <c r="EU192" s="130"/>
      <c r="EV192" s="130"/>
      <c r="EW192" s="130"/>
      <c r="EX192" s="130"/>
      <c r="EY192" s="130"/>
      <c r="EZ192" s="130"/>
      <c r="FA192" s="130"/>
      <c r="FB192" s="130"/>
      <c r="FC192" s="130"/>
      <c r="FD192" s="130"/>
      <c r="FE192" s="130"/>
      <c r="FF192" s="130"/>
      <c r="FG192" s="130"/>
      <c r="FH192" s="130"/>
      <c r="FI192" s="130"/>
      <c r="FJ192" s="130"/>
      <c r="FK192" s="130"/>
      <c r="FL192" s="130"/>
      <c r="FM192" s="130"/>
      <c r="FN192" s="130"/>
      <c r="FO192" s="130"/>
      <c r="FP192" s="130"/>
      <c r="FQ192" s="130"/>
      <c r="FR192" s="130"/>
      <c r="FS192" s="130"/>
      <c r="FT192" s="130"/>
      <c r="FU192" s="130"/>
      <c r="FV192" s="130"/>
      <c r="FW192" s="130"/>
      <c r="FX192" s="130"/>
      <c r="FY192" s="130"/>
      <c r="FZ192" s="130"/>
      <c r="GA192" s="130"/>
      <c r="GB192" s="130"/>
      <c r="GC192" s="130"/>
      <c r="GD192" s="130"/>
      <c r="GE192" s="130"/>
      <c r="GF192" s="130"/>
      <c r="GG192" s="130"/>
      <c r="GH192" s="130"/>
      <c r="GI192" s="130"/>
      <c r="GJ192" s="130"/>
      <c r="GK192" s="130"/>
      <c r="GL192" s="130"/>
      <c r="GM192" s="130"/>
      <c r="GN192" s="130"/>
      <c r="GO192" s="130"/>
      <c r="GP192" s="130"/>
      <c r="GQ192" s="130"/>
      <c r="GR192" s="130"/>
      <c r="GS192" s="130"/>
      <c r="GT192" s="130"/>
      <c r="GU192" s="130"/>
      <c r="GV192" s="130"/>
      <c r="GW192" s="130"/>
      <c r="GX192" s="130"/>
      <c r="GY192" s="130"/>
      <c r="GZ192" s="130"/>
      <c r="HA192" s="130"/>
      <c r="HB192" s="130"/>
      <c r="HC192" s="130"/>
      <c r="HD192" s="130"/>
      <c r="HE192" s="130"/>
      <c r="HF192" s="130"/>
      <c r="HG192" s="130"/>
      <c r="HH192" s="130"/>
      <c r="HI192" s="130"/>
      <c r="HJ192" s="130"/>
      <c r="HK192" s="130"/>
      <c r="HL192" s="130"/>
      <c r="HM192" s="130"/>
      <c r="HN192" s="130"/>
      <c r="HO192" s="130"/>
      <c r="HP192" s="130"/>
      <c r="HQ192" s="130"/>
      <c r="HR192" s="130"/>
      <c r="HS192" s="130"/>
      <c r="HT192" s="130"/>
      <c r="HU192" s="130"/>
      <c r="HV192" s="130"/>
      <c r="HW192" s="130"/>
      <c r="HX192" s="130"/>
      <c r="HY192" s="130"/>
      <c r="HZ192" s="130"/>
      <c r="IA192" s="130"/>
      <c r="IB192" s="130"/>
      <c r="IC192" s="130"/>
      <c r="ID192" s="130"/>
      <c r="IE192" s="130"/>
      <c r="IF192" s="130"/>
      <c r="IG192" s="130"/>
      <c r="IH192" s="130"/>
      <c r="II192" s="130"/>
      <c r="IJ192" s="130"/>
      <c r="IK192" s="130"/>
      <c r="IL192" s="130"/>
      <c r="IM192" s="130"/>
      <c r="IN192" s="130"/>
      <c r="IO192" s="130"/>
      <c r="IP192" s="130"/>
      <c r="IQ192" s="130"/>
    </row>
    <row r="193" spans="1:251" x14ac:dyDescent="0.2">
      <c r="A193" s="110" t="str">
        <f>IF(ISBLANK(B193),"",IF($A$2=1,B193,IF($A$2=2,C193,IF($A$2=3,D193,""))))</f>
        <v>Wert der ausgebrachten Nährstoffe</v>
      </c>
      <c r="B193" s="119" t="s">
        <v>726</v>
      </c>
      <c r="C193" s="139" t="s">
        <v>731</v>
      </c>
      <c r="D193" s="245" t="s">
        <v>728</v>
      </c>
    </row>
    <row r="194" spans="1:251" ht="25.5" x14ac:dyDescent="0.2">
      <c r="A194" s="110" t="str">
        <f t="shared" si="5"/>
        <v>exkl. Lagerung, Transport und Ausbringung.</v>
      </c>
      <c r="B194" s="100" t="s">
        <v>727</v>
      </c>
      <c r="C194" s="139" t="s">
        <v>732</v>
      </c>
      <c r="D194" s="171" t="s">
        <v>729</v>
      </c>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c r="AA194" s="130"/>
      <c r="AB194" s="130"/>
      <c r="AC194" s="130"/>
      <c r="AD194" s="130"/>
      <c r="AE194" s="130"/>
      <c r="AF194" s="130"/>
      <c r="AG194" s="130"/>
      <c r="AH194" s="130"/>
      <c r="AI194" s="130"/>
      <c r="AJ194" s="130"/>
      <c r="AK194" s="130"/>
      <c r="AL194" s="130"/>
      <c r="AM194" s="130"/>
      <c r="AN194" s="130"/>
      <c r="AO194" s="130"/>
      <c r="AP194" s="130"/>
      <c r="AQ194" s="130"/>
      <c r="AR194" s="130"/>
      <c r="AS194" s="130"/>
      <c r="AT194" s="130"/>
      <c r="AU194" s="130"/>
      <c r="AV194" s="130"/>
      <c r="AW194" s="130"/>
      <c r="AX194" s="130"/>
      <c r="AY194" s="130"/>
      <c r="AZ194" s="130"/>
      <c r="BA194" s="130"/>
      <c r="BB194" s="130"/>
      <c r="BC194" s="130"/>
      <c r="BD194" s="130"/>
      <c r="BE194" s="130"/>
      <c r="BF194" s="130"/>
      <c r="BG194" s="130"/>
      <c r="BH194" s="130"/>
      <c r="BI194" s="130"/>
      <c r="BJ194" s="130"/>
      <c r="BK194" s="130"/>
      <c r="BL194" s="130"/>
      <c r="BM194" s="130"/>
      <c r="BN194" s="130"/>
      <c r="BO194" s="130"/>
      <c r="BP194" s="130"/>
      <c r="BQ194" s="130"/>
      <c r="BR194" s="130"/>
      <c r="BS194" s="130"/>
      <c r="BT194" s="130"/>
      <c r="BU194" s="130"/>
      <c r="BV194" s="130"/>
      <c r="BW194" s="130"/>
      <c r="BX194" s="130"/>
      <c r="BY194" s="130"/>
      <c r="BZ194" s="130"/>
      <c r="CA194" s="130"/>
      <c r="CB194" s="130"/>
      <c r="CC194" s="130"/>
      <c r="CD194" s="130"/>
      <c r="CE194" s="130"/>
      <c r="CF194" s="130"/>
      <c r="CG194" s="130"/>
      <c r="CH194" s="130"/>
      <c r="CI194" s="130"/>
      <c r="CJ194" s="130"/>
      <c r="CK194" s="130"/>
      <c r="CL194" s="130"/>
      <c r="CM194" s="130"/>
      <c r="CN194" s="130"/>
      <c r="CO194" s="130"/>
      <c r="CP194" s="130"/>
      <c r="CQ194" s="130"/>
      <c r="CR194" s="130"/>
      <c r="CS194" s="130"/>
      <c r="CT194" s="130"/>
      <c r="CU194" s="130"/>
      <c r="CV194" s="130"/>
      <c r="CW194" s="130"/>
      <c r="CX194" s="130"/>
      <c r="CY194" s="130"/>
      <c r="CZ194" s="130"/>
      <c r="DA194" s="130"/>
      <c r="DB194" s="130"/>
      <c r="DC194" s="130"/>
      <c r="DD194" s="130"/>
      <c r="DE194" s="130"/>
      <c r="DF194" s="130"/>
      <c r="DG194" s="130"/>
      <c r="DH194" s="130"/>
      <c r="DI194" s="130"/>
      <c r="DJ194" s="130"/>
      <c r="DK194" s="130"/>
      <c r="DL194" s="130"/>
      <c r="DM194" s="130"/>
      <c r="DN194" s="130"/>
      <c r="DO194" s="130"/>
      <c r="DP194" s="130"/>
      <c r="DQ194" s="130"/>
      <c r="DR194" s="130"/>
      <c r="DS194" s="130"/>
      <c r="DT194" s="130"/>
      <c r="DU194" s="130"/>
      <c r="DV194" s="130"/>
      <c r="DW194" s="130"/>
      <c r="DX194" s="130"/>
      <c r="DY194" s="130"/>
      <c r="DZ194" s="130"/>
      <c r="EA194" s="130"/>
      <c r="EB194" s="130"/>
      <c r="EC194" s="130"/>
      <c r="ED194" s="130"/>
      <c r="EE194" s="130"/>
      <c r="EF194" s="130"/>
      <c r="EG194" s="130"/>
      <c r="EH194" s="130"/>
      <c r="EI194" s="130"/>
      <c r="EJ194" s="130"/>
      <c r="EK194" s="130"/>
      <c r="EL194" s="130"/>
      <c r="EM194" s="130"/>
      <c r="EN194" s="130"/>
      <c r="EO194" s="130"/>
      <c r="EP194" s="130"/>
      <c r="EQ194" s="130"/>
      <c r="ER194" s="130"/>
      <c r="ES194" s="130"/>
      <c r="ET194" s="130"/>
      <c r="EU194" s="130"/>
      <c r="EV194" s="130"/>
      <c r="EW194" s="130"/>
      <c r="EX194" s="130"/>
      <c r="EY194" s="130"/>
      <c r="EZ194" s="130"/>
      <c r="FA194" s="130"/>
      <c r="FB194" s="130"/>
      <c r="FC194" s="130"/>
      <c r="FD194" s="130"/>
      <c r="FE194" s="130"/>
      <c r="FF194" s="130"/>
      <c r="FG194" s="130"/>
      <c r="FH194" s="130"/>
      <c r="FI194" s="130"/>
      <c r="FJ194" s="130"/>
      <c r="FK194" s="130"/>
      <c r="FL194" s="130"/>
      <c r="FM194" s="130"/>
      <c r="FN194" s="130"/>
      <c r="FO194" s="130"/>
      <c r="FP194" s="130"/>
      <c r="FQ194" s="130"/>
      <c r="FR194" s="130"/>
      <c r="FS194" s="130"/>
      <c r="FT194" s="130"/>
      <c r="FU194" s="130"/>
      <c r="FV194" s="130"/>
      <c r="FW194" s="130"/>
      <c r="FX194" s="130"/>
      <c r="FY194" s="130"/>
      <c r="FZ194" s="130"/>
      <c r="GA194" s="130"/>
      <c r="GB194" s="130"/>
      <c r="GC194" s="130"/>
      <c r="GD194" s="130"/>
      <c r="GE194" s="130"/>
      <c r="GF194" s="130"/>
      <c r="GG194" s="130"/>
      <c r="GH194" s="130"/>
      <c r="GI194" s="130"/>
      <c r="GJ194" s="130"/>
      <c r="GK194" s="130"/>
      <c r="GL194" s="130"/>
      <c r="GM194" s="130"/>
      <c r="GN194" s="130"/>
      <c r="GO194" s="130"/>
      <c r="GP194" s="130"/>
      <c r="GQ194" s="130"/>
      <c r="GR194" s="130"/>
      <c r="GS194" s="130"/>
      <c r="GT194" s="130"/>
      <c r="GU194" s="130"/>
      <c r="GV194" s="130"/>
      <c r="GW194" s="130"/>
      <c r="GX194" s="130"/>
      <c r="GY194" s="130"/>
      <c r="GZ194" s="130"/>
      <c r="HA194" s="130"/>
      <c r="HB194" s="130"/>
      <c r="HC194" s="130"/>
      <c r="HD194" s="130"/>
      <c r="HE194" s="130"/>
      <c r="HF194" s="130"/>
      <c r="HG194" s="130"/>
      <c r="HH194" s="130"/>
      <c r="HI194" s="130"/>
      <c r="HJ194" s="130"/>
      <c r="HK194" s="130"/>
      <c r="HL194" s="130"/>
      <c r="HM194" s="130"/>
      <c r="HN194" s="130"/>
      <c r="HO194" s="130"/>
      <c r="HP194" s="130"/>
      <c r="HQ194" s="130"/>
      <c r="HR194" s="130"/>
      <c r="HS194" s="130"/>
      <c r="HT194" s="130"/>
      <c r="HU194" s="130"/>
      <c r="HV194" s="130"/>
      <c r="HW194" s="130"/>
      <c r="HX194" s="130"/>
      <c r="HY194" s="130"/>
      <c r="HZ194" s="130"/>
      <c r="IA194" s="130"/>
      <c r="IB194" s="130"/>
      <c r="IC194" s="130"/>
      <c r="ID194" s="130"/>
      <c r="IE194" s="130"/>
      <c r="IF194" s="130"/>
      <c r="IG194" s="130"/>
      <c r="IH194" s="130"/>
      <c r="II194" s="130"/>
      <c r="IJ194" s="130"/>
      <c r="IK194" s="130"/>
      <c r="IL194" s="130"/>
      <c r="IM194" s="130"/>
      <c r="IN194" s="130"/>
      <c r="IO194" s="130"/>
      <c r="IP194" s="130"/>
      <c r="IQ194" s="130"/>
    </row>
    <row r="195" spans="1:251" x14ac:dyDescent="0.2">
      <c r="A195" s="110" t="str">
        <f t="shared" si="5"/>
        <v/>
      </c>
      <c r="B195" s="118"/>
      <c r="C195" s="139"/>
      <c r="D195" s="171"/>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0"/>
      <c r="AV195" s="130"/>
      <c r="AW195" s="130"/>
      <c r="AX195" s="130"/>
      <c r="AY195" s="130"/>
      <c r="AZ195" s="130"/>
      <c r="BA195" s="130"/>
      <c r="BB195" s="130"/>
      <c r="BC195" s="130"/>
      <c r="BD195" s="130"/>
      <c r="BE195" s="130"/>
      <c r="BF195" s="130"/>
      <c r="BG195" s="130"/>
      <c r="BH195" s="130"/>
      <c r="BI195" s="130"/>
      <c r="BJ195" s="130"/>
      <c r="BK195" s="130"/>
      <c r="BL195" s="130"/>
      <c r="BM195" s="130"/>
      <c r="BN195" s="130"/>
      <c r="BO195" s="130"/>
      <c r="BP195" s="130"/>
      <c r="BQ195" s="130"/>
      <c r="BR195" s="130"/>
      <c r="BS195" s="130"/>
      <c r="BT195" s="130"/>
      <c r="BU195" s="130"/>
      <c r="BV195" s="130"/>
      <c r="BW195" s="130"/>
      <c r="BX195" s="130"/>
      <c r="BY195" s="130"/>
      <c r="BZ195" s="130"/>
      <c r="CA195" s="130"/>
      <c r="CB195" s="130"/>
      <c r="CC195" s="130"/>
      <c r="CD195" s="130"/>
      <c r="CE195" s="130"/>
      <c r="CF195" s="130"/>
      <c r="CG195" s="130"/>
      <c r="CH195" s="130"/>
      <c r="CI195" s="130"/>
      <c r="CJ195" s="130"/>
      <c r="CK195" s="130"/>
      <c r="CL195" s="130"/>
      <c r="CM195" s="130"/>
      <c r="CN195" s="130"/>
      <c r="CO195" s="130"/>
      <c r="CP195" s="130"/>
      <c r="CQ195" s="130"/>
      <c r="CR195" s="130"/>
      <c r="CS195" s="130"/>
      <c r="CT195" s="130"/>
      <c r="CU195" s="130"/>
      <c r="CV195" s="130"/>
      <c r="CW195" s="130"/>
      <c r="CX195" s="130"/>
      <c r="CY195" s="130"/>
      <c r="CZ195" s="130"/>
      <c r="DA195" s="130"/>
      <c r="DB195" s="130"/>
      <c r="DC195" s="130"/>
      <c r="DD195" s="130"/>
      <c r="DE195" s="130"/>
      <c r="DF195" s="130"/>
      <c r="DG195" s="130"/>
      <c r="DH195" s="130"/>
      <c r="DI195" s="130"/>
      <c r="DJ195" s="130"/>
      <c r="DK195" s="130"/>
      <c r="DL195" s="130"/>
      <c r="DM195" s="130"/>
      <c r="DN195" s="130"/>
      <c r="DO195" s="130"/>
      <c r="DP195" s="130"/>
      <c r="DQ195" s="130"/>
      <c r="DR195" s="130"/>
      <c r="DS195" s="130"/>
      <c r="DT195" s="130"/>
      <c r="DU195" s="130"/>
      <c r="DV195" s="130"/>
      <c r="DW195" s="130"/>
      <c r="DX195" s="130"/>
      <c r="DY195" s="130"/>
      <c r="DZ195" s="130"/>
      <c r="EA195" s="130"/>
      <c r="EB195" s="130"/>
      <c r="EC195" s="130"/>
      <c r="ED195" s="130"/>
      <c r="EE195" s="130"/>
      <c r="EF195" s="130"/>
      <c r="EG195" s="130"/>
      <c r="EH195" s="130"/>
      <c r="EI195" s="130"/>
      <c r="EJ195" s="130"/>
      <c r="EK195" s="130"/>
      <c r="EL195" s="130"/>
      <c r="EM195" s="130"/>
      <c r="EN195" s="130"/>
      <c r="EO195" s="130"/>
      <c r="EP195" s="130"/>
      <c r="EQ195" s="130"/>
      <c r="ER195" s="130"/>
      <c r="ES195" s="130"/>
      <c r="ET195" s="130"/>
      <c r="EU195" s="130"/>
      <c r="EV195" s="130"/>
      <c r="EW195" s="130"/>
      <c r="EX195" s="130"/>
      <c r="EY195" s="130"/>
      <c r="EZ195" s="130"/>
      <c r="FA195" s="130"/>
      <c r="FB195" s="130"/>
      <c r="FC195" s="130"/>
      <c r="FD195" s="130"/>
      <c r="FE195" s="130"/>
      <c r="FF195" s="130"/>
      <c r="FG195" s="130"/>
      <c r="FH195" s="130"/>
      <c r="FI195" s="130"/>
      <c r="FJ195" s="130"/>
      <c r="FK195" s="130"/>
      <c r="FL195" s="130"/>
      <c r="FM195" s="130"/>
      <c r="FN195" s="130"/>
      <c r="FO195" s="130"/>
      <c r="FP195" s="130"/>
      <c r="FQ195" s="130"/>
      <c r="FR195" s="130"/>
      <c r="FS195" s="130"/>
      <c r="FT195" s="130"/>
      <c r="FU195" s="130"/>
      <c r="FV195" s="130"/>
      <c r="FW195" s="130"/>
      <c r="FX195" s="130"/>
      <c r="FY195" s="130"/>
      <c r="FZ195" s="130"/>
      <c r="GA195" s="130"/>
      <c r="GB195" s="130"/>
      <c r="GC195" s="130"/>
      <c r="GD195" s="130"/>
      <c r="GE195" s="130"/>
      <c r="GF195" s="130"/>
      <c r="GG195" s="130"/>
      <c r="GH195" s="130"/>
      <c r="GI195" s="130"/>
      <c r="GJ195" s="130"/>
      <c r="GK195" s="130"/>
      <c r="GL195" s="130"/>
      <c r="GM195" s="130"/>
      <c r="GN195" s="130"/>
      <c r="GO195" s="130"/>
      <c r="GP195" s="130"/>
      <c r="GQ195" s="130"/>
      <c r="GR195" s="130"/>
      <c r="GS195" s="130"/>
      <c r="GT195" s="130"/>
      <c r="GU195" s="130"/>
      <c r="GV195" s="130"/>
      <c r="GW195" s="130"/>
      <c r="GX195" s="130"/>
      <c r="GY195" s="130"/>
      <c r="GZ195" s="130"/>
      <c r="HA195" s="130"/>
      <c r="HB195" s="130"/>
      <c r="HC195" s="130"/>
      <c r="HD195" s="130"/>
      <c r="HE195" s="130"/>
      <c r="HF195" s="130"/>
      <c r="HG195" s="130"/>
      <c r="HH195" s="130"/>
      <c r="HI195" s="130"/>
      <c r="HJ195" s="130"/>
      <c r="HK195" s="130"/>
      <c r="HL195" s="130"/>
      <c r="HM195" s="130"/>
      <c r="HN195" s="130"/>
      <c r="HO195" s="130"/>
      <c r="HP195" s="130"/>
      <c r="HQ195" s="130"/>
      <c r="HR195" s="130"/>
      <c r="HS195" s="130"/>
      <c r="HT195" s="130"/>
      <c r="HU195" s="130"/>
      <c r="HV195" s="130"/>
      <c r="HW195" s="130"/>
      <c r="HX195" s="130"/>
      <c r="HY195" s="130"/>
      <c r="HZ195" s="130"/>
      <c r="IA195" s="130"/>
      <c r="IB195" s="130"/>
      <c r="IC195" s="130"/>
      <c r="ID195" s="130"/>
      <c r="IE195" s="130"/>
      <c r="IF195" s="130"/>
      <c r="IG195" s="130"/>
      <c r="IH195" s="130"/>
      <c r="II195" s="130"/>
      <c r="IJ195" s="130"/>
      <c r="IK195" s="130"/>
      <c r="IL195" s="130"/>
      <c r="IM195" s="130"/>
      <c r="IN195" s="130"/>
      <c r="IO195" s="130"/>
      <c r="IP195" s="130"/>
      <c r="IQ195" s="130"/>
    </row>
    <row r="196" spans="1:251" x14ac:dyDescent="0.2">
      <c r="A196" s="110" t="str">
        <f t="shared" si="5"/>
        <v>Preistabellle:</v>
      </c>
      <c r="B196" s="118" t="s">
        <v>725</v>
      </c>
      <c r="C196" s="139" t="s">
        <v>733</v>
      </c>
      <c r="D196" s="171" t="s">
        <v>730</v>
      </c>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c r="AA196" s="130"/>
      <c r="AB196" s="130"/>
      <c r="AC196" s="130"/>
      <c r="AD196" s="130"/>
      <c r="AE196" s="130"/>
      <c r="AF196" s="130"/>
      <c r="AG196" s="130"/>
      <c r="AH196" s="130"/>
      <c r="AI196" s="130"/>
      <c r="AJ196" s="130"/>
      <c r="AK196" s="130"/>
      <c r="AL196" s="130"/>
      <c r="AM196" s="130"/>
      <c r="AN196" s="130"/>
      <c r="AO196" s="130"/>
      <c r="AP196" s="130"/>
      <c r="AQ196" s="130"/>
      <c r="AR196" s="130"/>
      <c r="AS196" s="130"/>
      <c r="AT196" s="130"/>
      <c r="AU196" s="130"/>
      <c r="AV196" s="130"/>
      <c r="AW196" s="130"/>
      <c r="AX196" s="130"/>
      <c r="AY196" s="130"/>
      <c r="AZ196" s="130"/>
      <c r="BA196" s="130"/>
      <c r="BB196" s="130"/>
      <c r="BC196" s="130"/>
      <c r="BD196" s="130"/>
      <c r="BE196" s="130"/>
      <c r="BF196" s="130"/>
      <c r="BG196" s="130"/>
      <c r="BH196" s="130"/>
      <c r="BI196" s="130"/>
      <c r="BJ196" s="130"/>
      <c r="BK196" s="130"/>
      <c r="BL196" s="130"/>
      <c r="BM196" s="130"/>
      <c r="BN196" s="130"/>
      <c r="BO196" s="130"/>
      <c r="BP196" s="130"/>
      <c r="BQ196" s="130"/>
      <c r="BR196" s="130"/>
      <c r="BS196" s="130"/>
      <c r="BT196" s="130"/>
      <c r="BU196" s="130"/>
      <c r="BV196" s="130"/>
      <c r="BW196" s="130"/>
      <c r="BX196" s="130"/>
      <c r="BY196" s="130"/>
      <c r="BZ196" s="130"/>
      <c r="CA196" s="130"/>
      <c r="CB196" s="130"/>
      <c r="CC196" s="130"/>
      <c r="CD196" s="130"/>
      <c r="CE196" s="130"/>
      <c r="CF196" s="130"/>
      <c r="CG196" s="130"/>
      <c r="CH196" s="130"/>
      <c r="CI196" s="130"/>
      <c r="CJ196" s="130"/>
      <c r="CK196" s="130"/>
      <c r="CL196" s="130"/>
      <c r="CM196" s="130"/>
      <c r="CN196" s="130"/>
      <c r="CO196" s="130"/>
      <c r="CP196" s="130"/>
      <c r="CQ196" s="130"/>
      <c r="CR196" s="130"/>
      <c r="CS196" s="130"/>
      <c r="CT196" s="130"/>
      <c r="CU196" s="130"/>
      <c r="CV196" s="130"/>
      <c r="CW196" s="130"/>
      <c r="CX196" s="130"/>
      <c r="CY196" s="130"/>
      <c r="CZ196" s="130"/>
      <c r="DA196" s="130"/>
      <c r="DB196" s="130"/>
      <c r="DC196" s="130"/>
      <c r="DD196" s="130"/>
      <c r="DE196" s="130"/>
      <c r="DF196" s="130"/>
      <c r="DG196" s="130"/>
      <c r="DH196" s="130"/>
      <c r="DI196" s="130"/>
      <c r="DJ196" s="130"/>
      <c r="DK196" s="130"/>
      <c r="DL196" s="130"/>
      <c r="DM196" s="130"/>
      <c r="DN196" s="130"/>
      <c r="DO196" s="130"/>
      <c r="DP196" s="130"/>
      <c r="DQ196" s="130"/>
      <c r="DR196" s="130"/>
      <c r="DS196" s="130"/>
      <c r="DT196" s="130"/>
      <c r="DU196" s="130"/>
      <c r="DV196" s="130"/>
      <c r="DW196" s="130"/>
      <c r="DX196" s="130"/>
      <c r="DY196" s="130"/>
      <c r="DZ196" s="130"/>
      <c r="EA196" s="130"/>
      <c r="EB196" s="130"/>
      <c r="EC196" s="130"/>
      <c r="ED196" s="130"/>
      <c r="EE196" s="130"/>
      <c r="EF196" s="130"/>
      <c r="EG196" s="130"/>
      <c r="EH196" s="130"/>
      <c r="EI196" s="130"/>
      <c r="EJ196" s="130"/>
      <c r="EK196" s="130"/>
      <c r="EL196" s="130"/>
      <c r="EM196" s="130"/>
      <c r="EN196" s="130"/>
      <c r="EO196" s="130"/>
      <c r="EP196" s="130"/>
      <c r="EQ196" s="130"/>
      <c r="ER196" s="130"/>
      <c r="ES196" s="130"/>
      <c r="ET196" s="130"/>
      <c r="EU196" s="130"/>
      <c r="EV196" s="130"/>
      <c r="EW196" s="130"/>
      <c r="EX196" s="130"/>
      <c r="EY196" s="130"/>
      <c r="EZ196" s="130"/>
      <c r="FA196" s="130"/>
      <c r="FB196" s="130"/>
      <c r="FC196" s="130"/>
      <c r="FD196" s="130"/>
      <c r="FE196" s="130"/>
      <c r="FF196" s="130"/>
      <c r="FG196" s="130"/>
      <c r="FH196" s="130"/>
      <c r="FI196" s="130"/>
      <c r="FJ196" s="130"/>
      <c r="FK196" s="130"/>
      <c r="FL196" s="130"/>
      <c r="FM196" s="130"/>
      <c r="FN196" s="130"/>
      <c r="FO196" s="130"/>
      <c r="FP196" s="130"/>
      <c r="FQ196" s="130"/>
      <c r="FR196" s="130"/>
      <c r="FS196" s="130"/>
      <c r="FT196" s="130"/>
      <c r="FU196" s="130"/>
      <c r="FV196" s="130"/>
      <c r="FW196" s="130"/>
      <c r="FX196" s="130"/>
      <c r="FY196" s="130"/>
      <c r="FZ196" s="130"/>
      <c r="GA196" s="130"/>
      <c r="GB196" s="130"/>
      <c r="GC196" s="130"/>
      <c r="GD196" s="130"/>
      <c r="GE196" s="130"/>
      <c r="GF196" s="130"/>
      <c r="GG196" s="130"/>
      <c r="GH196" s="130"/>
      <c r="GI196" s="130"/>
      <c r="GJ196" s="130"/>
      <c r="GK196" s="130"/>
      <c r="GL196" s="130"/>
      <c r="GM196" s="130"/>
      <c r="GN196" s="130"/>
      <c r="GO196" s="130"/>
      <c r="GP196" s="130"/>
      <c r="GQ196" s="130"/>
      <c r="GR196" s="130"/>
      <c r="GS196" s="130"/>
      <c r="GT196" s="130"/>
      <c r="GU196" s="130"/>
      <c r="GV196" s="130"/>
      <c r="GW196" s="130"/>
      <c r="GX196" s="130"/>
      <c r="GY196" s="130"/>
      <c r="GZ196" s="130"/>
      <c r="HA196" s="130"/>
      <c r="HB196" s="130"/>
      <c r="HC196" s="130"/>
      <c r="HD196" s="130"/>
      <c r="HE196" s="130"/>
      <c r="HF196" s="130"/>
      <c r="HG196" s="130"/>
      <c r="HH196" s="130"/>
      <c r="HI196" s="130"/>
      <c r="HJ196" s="130"/>
      <c r="HK196" s="130"/>
      <c r="HL196" s="130"/>
      <c r="HM196" s="130"/>
      <c r="HN196" s="130"/>
      <c r="HO196" s="130"/>
      <c r="HP196" s="130"/>
      <c r="HQ196" s="130"/>
      <c r="HR196" s="130"/>
      <c r="HS196" s="130"/>
      <c r="HT196" s="130"/>
      <c r="HU196" s="130"/>
      <c r="HV196" s="130"/>
      <c r="HW196" s="130"/>
      <c r="HX196" s="130"/>
      <c r="HY196" s="130"/>
      <c r="HZ196" s="130"/>
      <c r="IA196" s="130"/>
      <c r="IB196" s="130"/>
      <c r="IC196" s="130"/>
      <c r="ID196" s="130"/>
      <c r="IE196" s="130"/>
      <c r="IF196" s="130"/>
      <c r="IG196" s="130"/>
      <c r="IH196" s="130"/>
      <c r="II196" s="130"/>
      <c r="IJ196" s="130"/>
      <c r="IK196" s="130"/>
      <c r="IL196" s="130"/>
      <c r="IM196" s="130"/>
      <c r="IN196" s="130"/>
      <c r="IO196" s="130"/>
      <c r="IP196" s="130"/>
      <c r="IQ196" s="130"/>
    </row>
    <row r="197" spans="1:251" x14ac:dyDescent="0.2">
      <c r="A197" s="110" t="str">
        <f t="shared" si="5"/>
        <v/>
      </c>
      <c r="B197" s="118"/>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0"/>
      <c r="AY197" s="130"/>
      <c r="AZ197" s="130"/>
      <c r="BA197" s="130"/>
      <c r="BB197" s="130"/>
      <c r="BC197" s="130"/>
      <c r="BD197" s="130"/>
      <c r="BE197" s="130"/>
      <c r="BF197" s="130"/>
      <c r="BG197" s="130"/>
      <c r="BH197" s="130"/>
      <c r="BI197" s="130"/>
      <c r="BJ197" s="130"/>
      <c r="BK197" s="130"/>
      <c r="BL197" s="130"/>
      <c r="BM197" s="130"/>
      <c r="BN197" s="130"/>
      <c r="BO197" s="130"/>
      <c r="BP197" s="130"/>
      <c r="BQ197" s="130"/>
      <c r="BR197" s="130"/>
      <c r="BS197" s="130"/>
      <c r="BT197" s="130"/>
      <c r="BU197" s="130"/>
      <c r="BV197" s="130"/>
      <c r="BW197" s="130"/>
      <c r="BX197" s="130"/>
      <c r="BY197" s="130"/>
      <c r="BZ197" s="130"/>
      <c r="CA197" s="130"/>
      <c r="CB197" s="130"/>
      <c r="CC197" s="130"/>
      <c r="CD197" s="130"/>
      <c r="CE197" s="130"/>
      <c r="CF197" s="130"/>
      <c r="CG197" s="130"/>
      <c r="CH197" s="130"/>
      <c r="CI197" s="130"/>
      <c r="CJ197" s="130"/>
      <c r="CK197" s="130"/>
      <c r="CL197" s="130"/>
      <c r="CM197" s="130"/>
      <c r="CN197" s="130"/>
      <c r="CO197" s="130"/>
      <c r="CP197" s="130"/>
      <c r="CQ197" s="130"/>
      <c r="CR197" s="130"/>
      <c r="CS197" s="130"/>
      <c r="CT197" s="130"/>
      <c r="CU197" s="130"/>
      <c r="CV197" s="130"/>
      <c r="CW197" s="130"/>
      <c r="CX197" s="130"/>
      <c r="CY197" s="130"/>
      <c r="CZ197" s="130"/>
      <c r="DA197" s="130"/>
      <c r="DB197" s="130"/>
      <c r="DC197" s="130"/>
      <c r="DD197" s="130"/>
      <c r="DE197" s="130"/>
      <c r="DF197" s="130"/>
      <c r="DG197" s="130"/>
      <c r="DH197" s="130"/>
      <c r="DI197" s="130"/>
      <c r="DJ197" s="130"/>
      <c r="DK197" s="130"/>
      <c r="DL197" s="130"/>
      <c r="DM197" s="130"/>
      <c r="DN197" s="130"/>
      <c r="DO197" s="130"/>
      <c r="DP197" s="130"/>
      <c r="DQ197" s="130"/>
      <c r="DR197" s="130"/>
      <c r="DS197" s="130"/>
      <c r="DT197" s="130"/>
      <c r="DU197" s="130"/>
      <c r="DV197" s="130"/>
      <c r="DW197" s="130"/>
      <c r="DX197" s="130"/>
      <c r="DY197" s="130"/>
      <c r="DZ197" s="130"/>
      <c r="EA197" s="130"/>
      <c r="EB197" s="130"/>
      <c r="EC197" s="130"/>
      <c r="ED197" s="130"/>
      <c r="EE197" s="130"/>
      <c r="EF197" s="130"/>
      <c r="EG197" s="130"/>
      <c r="EH197" s="130"/>
      <c r="EI197" s="130"/>
      <c r="EJ197" s="130"/>
      <c r="EK197" s="130"/>
      <c r="EL197" s="130"/>
      <c r="EM197" s="130"/>
      <c r="EN197" s="130"/>
      <c r="EO197" s="130"/>
      <c r="EP197" s="130"/>
      <c r="EQ197" s="130"/>
      <c r="ER197" s="130"/>
      <c r="ES197" s="130"/>
      <c r="ET197" s="130"/>
      <c r="EU197" s="130"/>
      <c r="EV197" s="130"/>
      <c r="EW197" s="130"/>
      <c r="EX197" s="130"/>
      <c r="EY197" s="130"/>
      <c r="EZ197" s="130"/>
      <c r="FA197" s="130"/>
      <c r="FB197" s="130"/>
      <c r="FC197" s="130"/>
      <c r="FD197" s="130"/>
      <c r="FE197" s="130"/>
      <c r="FF197" s="130"/>
      <c r="FG197" s="130"/>
      <c r="FH197" s="130"/>
      <c r="FI197" s="130"/>
      <c r="FJ197" s="130"/>
      <c r="FK197" s="130"/>
      <c r="FL197" s="130"/>
      <c r="FM197" s="130"/>
      <c r="FN197" s="130"/>
      <c r="FO197" s="130"/>
      <c r="FP197" s="130"/>
      <c r="FQ197" s="130"/>
      <c r="FR197" s="130"/>
      <c r="FS197" s="130"/>
      <c r="FT197" s="130"/>
      <c r="FU197" s="130"/>
      <c r="FV197" s="130"/>
      <c r="FW197" s="130"/>
      <c r="FX197" s="130"/>
      <c r="FY197" s="130"/>
      <c r="FZ197" s="130"/>
      <c r="GA197" s="130"/>
      <c r="GB197" s="130"/>
      <c r="GC197" s="130"/>
      <c r="GD197" s="130"/>
      <c r="GE197" s="130"/>
      <c r="GF197" s="130"/>
      <c r="GG197" s="130"/>
      <c r="GH197" s="130"/>
      <c r="GI197" s="130"/>
      <c r="GJ197" s="130"/>
      <c r="GK197" s="130"/>
      <c r="GL197" s="130"/>
      <c r="GM197" s="130"/>
      <c r="GN197" s="130"/>
      <c r="GO197" s="130"/>
      <c r="GP197" s="130"/>
      <c r="GQ197" s="130"/>
      <c r="GR197" s="130"/>
      <c r="GS197" s="130"/>
      <c r="GT197" s="130"/>
      <c r="GU197" s="130"/>
      <c r="GV197" s="130"/>
      <c r="GW197" s="130"/>
      <c r="GX197" s="130"/>
      <c r="GY197" s="130"/>
      <c r="GZ197" s="130"/>
      <c r="HA197" s="130"/>
      <c r="HB197" s="130"/>
      <c r="HC197" s="130"/>
      <c r="HD197" s="130"/>
      <c r="HE197" s="130"/>
      <c r="HF197" s="130"/>
      <c r="HG197" s="130"/>
      <c r="HH197" s="130"/>
      <c r="HI197" s="130"/>
      <c r="HJ197" s="130"/>
      <c r="HK197" s="130"/>
      <c r="HL197" s="130"/>
      <c r="HM197" s="130"/>
      <c r="HN197" s="130"/>
      <c r="HO197" s="130"/>
      <c r="HP197" s="130"/>
      <c r="HQ197" s="130"/>
      <c r="HR197" s="130"/>
      <c r="HS197" s="130"/>
      <c r="HT197" s="130"/>
      <c r="HU197" s="130"/>
      <c r="HV197" s="130"/>
      <c r="HW197" s="130"/>
      <c r="HX197" s="130"/>
      <c r="HY197" s="130"/>
      <c r="HZ197" s="130"/>
      <c r="IA197" s="130"/>
      <c r="IB197" s="130"/>
      <c r="IC197" s="130"/>
      <c r="ID197" s="130"/>
      <c r="IE197" s="130"/>
      <c r="IF197" s="130"/>
      <c r="IG197" s="130"/>
      <c r="IH197" s="130"/>
      <c r="II197" s="130"/>
      <c r="IJ197" s="130"/>
      <c r="IK197" s="130"/>
      <c r="IL197" s="130"/>
      <c r="IM197" s="130"/>
      <c r="IN197" s="130"/>
      <c r="IO197" s="130"/>
      <c r="IP197" s="130"/>
      <c r="IQ197" s="130"/>
    </row>
    <row r="198" spans="1:251" x14ac:dyDescent="0.2">
      <c r="A198" s="110" t="str">
        <f t="shared" si="5"/>
        <v/>
      </c>
      <c r="B198" s="118"/>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c r="AA198" s="130"/>
      <c r="AB198" s="130"/>
      <c r="AC198" s="130"/>
      <c r="AD198" s="130"/>
      <c r="AE198" s="130"/>
      <c r="AF198" s="130"/>
      <c r="AG198" s="130"/>
      <c r="AH198" s="130"/>
      <c r="AI198" s="130"/>
      <c r="AJ198" s="130"/>
      <c r="AK198" s="130"/>
      <c r="AL198" s="130"/>
      <c r="AM198" s="130"/>
      <c r="AN198" s="130"/>
      <c r="AO198" s="130"/>
      <c r="AP198" s="130"/>
      <c r="AQ198" s="130"/>
      <c r="AR198" s="130"/>
      <c r="AS198" s="130"/>
      <c r="AT198" s="130"/>
      <c r="AU198" s="130"/>
      <c r="AV198" s="130"/>
      <c r="AW198" s="130"/>
      <c r="AX198" s="130"/>
      <c r="AY198" s="130"/>
      <c r="AZ198" s="130"/>
      <c r="BA198" s="130"/>
      <c r="BB198" s="130"/>
      <c r="BC198" s="130"/>
      <c r="BD198" s="130"/>
      <c r="BE198" s="130"/>
      <c r="BF198" s="130"/>
      <c r="BG198" s="130"/>
      <c r="BH198" s="130"/>
      <c r="BI198" s="130"/>
      <c r="BJ198" s="130"/>
      <c r="BK198" s="130"/>
      <c r="BL198" s="130"/>
      <c r="BM198" s="130"/>
      <c r="BN198" s="130"/>
      <c r="BO198" s="130"/>
      <c r="BP198" s="130"/>
      <c r="BQ198" s="130"/>
      <c r="BR198" s="130"/>
      <c r="BS198" s="130"/>
      <c r="BT198" s="130"/>
      <c r="BU198" s="130"/>
      <c r="BV198" s="130"/>
      <c r="BW198" s="130"/>
      <c r="BX198" s="130"/>
      <c r="BY198" s="130"/>
      <c r="BZ198" s="130"/>
      <c r="CA198" s="130"/>
      <c r="CB198" s="130"/>
      <c r="CC198" s="130"/>
      <c r="CD198" s="130"/>
      <c r="CE198" s="130"/>
      <c r="CF198" s="130"/>
      <c r="CG198" s="130"/>
      <c r="CH198" s="130"/>
      <c r="CI198" s="130"/>
      <c r="CJ198" s="130"/>
      <c r="CK198" s="130"/>
      <c r="CL198" s="130"/>
      <c r="CM198" s="130"/>
      <c r="CN198" s="130"/>
      <c r="CO198" s="130"/>
      <c r="CP198" s="130"/>
      <c r="CQ198" s="130"/>
      <c r="CR198" s="130"/>
      <c r="CS198" s="130"/>
      <c r="CT198" s="130"/>
      <c r="CU198" s="130"/>
      <c r="CV198" s="130"/>
      <c r="CW198" s="130"/>
      <c r="CX198" s="130"/>
      <c r="CY198" s="130"/>
      <c r="CZ198" s="130"/>
      <c r="DA198" s="130"/>
      <c r="DB198" s="130"/>
      <c r="DC198" s="130"/>
      <c r="DD198" s="130"/>
      <c r="DE198" s="130"/>
      <c r="DF198" s="130"/>
      <c r="DG198" s="130"/>
      <c r="DH198" s="130"/>
      <c r="DI198" s="130"/>
      <c r="DJ198" s="130"/>
      <c r="DK198" s="130"/>
      <c r="DL198" s="130"/>
      <c r="DM198" s="130"/>
      <c r="DN198" s="130"/>
      <c r="DO198" s="130"/>
      <c r="DP198" s="130"/>
      <c r="DQ198" s="130"/>
      <c r="DR198" s="130"/>
      <c r="DS198" s="130"/>
      <c r="DT198" s="130"/>
      <c r="DU198" s="130"/>
      <c r="DV198" s="130"/>
      <c r="DW198" s="130"/>
      <c r="DX198" s="130"/>
      <c r="DY198" s="130"/>
      <c r="DZ198" s="130"/>
      <c r="EA198" s="130"/>
      <c r="EB198" s="130"/>
      <c r="EC198" s="130"/>
      <c r="ED198" s="130"/>
      <c r="EE198" s="130"/>
      <c r="EF198" s="130"/>
      <c r="EG198" s="130"/>
      <c r="EH198" s="130"/>
      <c r="EI198" s="130"/>
      <c r="EJ198" s="130"/>
      <c r="EK198" s="130"/>
      <c r="EL198" s="130"/>
      <c r="EM198" s="130"/>
      <c r="EN198" s="130"/>
      <c r="EO198" s="130"/>
      <c r="EP198" s="130"/>
      <c r="EQ198" s="130"/>
      <c r="ER198" s="130"/>
      <c r="ES198" s="130"/>
      <c r="ET198" s="130"/>
      <c r="EU198" s="130"/>
      <c r="EV198" s="130"/>
      <c r="EW198" s="130"/>
      <c r="EX198" s="130"/>
      <c r="EY198" s="130"/>
      <c r="EZ198" s="130"/>
      <c r="FA198" s="130"/>
      <c r="FB198" s="130"/>
      <c r="FC198" s="130"/>
      <c r="FD198" s="130"/>
      <c r="FE198" s="130"/>
      <c r="FF198" s="130"/>
      <c r="FG198" s="130"/>
      <c r="FH198" s="130"/>
      <c r="FI198" s="130"/>
      <c r="FJ198" s="130"/>
      <c r="FK198" s="130"/>
      <c r="FL198" s="130"/>
      <c r="FM198" s="130"/>
      <c r="FN198" s="130"/>
      <c r="FO198" s="130"/>
      <c r="FP198" s="130"/>
      <c r="FQ198" s="130"/>
      <c r="FR198" s="130"/>
      <c r="FS198" s="130"/>
      <c r="FT198" s="130"/>
      <c r="FU198" s="130"/>
      <c r="FV198" s="130"/>
      <c r="FW198" s="130"/>
      <c r="FX198" s="130"/>
      <c r="FY198" s="130"/>
      <c r="FZ198" s="130"/>
      <c r="GA198" s="130"/>
      <c r="GB198" s="130"/>
      <c r="GC198" s="130"/>
      <c r="GD198" s="130"/>
      <c r="GE198" s="130"/>
      <c r="GF198" s="130"/>
      <c r="GG198" s="130"/>
      <c r="GH198" s="130"/>
      <c r="GI198" s="130"/>
      <c r="GJ198" s="130"/>
      <c r="GK198" s="130"/>
      <c r="GL198" s="130"/>
      <c r="GM198" s="130"/>
      <c r="GN198" s="130"/>
      <c r="GO198" s="130"/>
      <c r="GP198" s="130"/>
      <c r="GQ198" s="130"/>
      <c r="GR198" s="130"/>
      <c r="GS198" s="130"/>
      <c r="GT198" s="130"/>
      <c r="GU198" s="130"/>
      <c r="GV198" s="130"/>
      <c r="GW198" s="130"/>
      <c r="GX198" s="130"/>
      <c r="GY198" s="130"/>
      <c r="GZ198" s="130"/>
      <c r="HA198" s="130"/>
      <c r="HB198" s="130"/>
      <c r="HC198" s="130"/>
      <c r="HD198" s="130"/>
      <c r="HE198" s="130"/>
      <c r="HF198" s="130"/>
      <c r="HG198" s="130"/>
      <c r="HH198" s="130"/>
      <c r="HI198" s="130"/>
      <c r="HJ198" s="130"/>
      <c r="HK198" s="130"/>
      <c r="HL198" s="130"/>
      <c r="HM198" s="130"/>
      <c r="HN198" s="130"/>
      <c r="HO198" s="130"/>
      <c r="HP198" s="130"/>
      <c r="HQ198" s="130"/>
      <c r="HR198" s="130"/>
      <c r="HS198" s="130"/>
      <c r="HT198" s="130"/>
      <c r="HU198" s="130"/>
      <c r="HV198" s="130"/>
      <c r="HW198" s="130"/>
      <c r="HX198" s="130"/>
      <c r="HY198" s="130"/>
      <c r="HZ198" s="130"/>
      <c r="IA198" s="130"/>
      <c r="IB198" s="130"/>
      <c r="IC198" s="130"/>
      <c r="ID198" s="130"/>
      <c r="IE198" s="130"/>
      <c r="IF198" s="130"/>
      <c r="IG198" s="130"/>
      <c r="IH198" s="130"/>
      <c r="II198" s="130"/>
      <c r="IJ198" s="130"/>
      <c r="IK198" s="130"/>
      <c r="IL198" s="130"/>
      <c r="IM198" s="130"/>
      <c r="IN198" s="130"/>
      <c r="IO198" s="130"/>
      <c r="IP198" s="130"/>
      <c r="IQ198" s="130"/>
    </row>
    <row r="199" spans="1:251" x14ac:dyDescent="0.2">
      <c r="B199" s="118"/>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0"/>
      <c r="AY199" s="130"/>
      <c r="AZ199" s="130"/>
      <c r="BA199" s="130"/>
      <c r="BB199" s="130"/>
      <c r="BC199" s="130"/>
      <c r="BD199" s="130"/>
      <c r="BE199" s="130"/>
      <c r="BF199" s="130"/>
      <c r="BG199" s="130"/>
      <c r="BH199" s="130"/>
      <c r="BI199" s="130"/>
      <c r="BJ199" s="130"/>
      <c r="BK199" s="130"/>
      <c r="BL199" s="130"/>
      <c r="BM199" s="130"/>
      <c r="BN199" s="130"/>
      <c r="BO199" s="130"/>
      <c r="BP199" s="130"/>
      <c r="BQ199" s="130"/>
      <c r="BR199" s="130"/>
      <c r="BS199" s="130"/>
      <c r="BT199" s="130"/>
      <c r="BU199" s="130"/>
      <c r="BV199" s="130"/>
      <c r="BW199" s="130"/>
      <c r="BX199" s="130"/>
      <c r="BY199" s="130"/>
      <c r="BZ199" s="130"/>
      <c r="CA199" s="130"/>
      <c r="CB199" s="130"/>
      <c r="CC199" s="130"/>
      <c r="CD199" s="130"/>
      <c r="CE199" s="130"/>
      <c r="CF199" s="130"/>
      <c r="CG199" s="130"/>
      <c r="CH199" s="130"/>
      <c r="CI199" s="130"/>
      <c r="CJ199" s="130"/>
      <c r="CK199" s="130"/>
      <c r="CL199" s="130"/>
      <c r="CM199" s="130"/>
      <c r="CN199" s="130"/>
      <c r="CO199" s="130"/>
      <c r="CP199" s="130"/>
      <c r="CQ199" s="130"/>
      <c r="CR199" s="130"/>
      <c r="CS199" s="130"/>
      <c r="CT199" s="130"/>
      <c r="CU199" s="130"/>
      <c r="CV199" s="130"/>
      <c r="CW199" s="130"/>
      <c r="CX199" s="130"/>
      <c r="CY199" s="130"/>
      <c r="CZ199" s="130"/>
      <c r="DA199" s="130"/>
      <c r="DB199" s="130"/>
      <c r="DC199" s="130"/>
      <c r="DD199" s="130"/>
      <c r="DE199" s="130"/>
      <c r="DF199" s="130"/>
      <c r="DG199" s="130"/>
      <c r="DH199" s="130"/>
      <c r="DI199" s="130"/>
      <c r="DJ199" s="130"/>
      <c r="DK199" s="130"/>
      <c r="DL199" s="130"/>
      <c r="DM199" s="130"/>
      <c r="DN199" s="130"/>
      <c r="DO199" s="130"/>
      <c r="DP199" s="130"/>
      <c r="DQ199" s="130"/>
      <c r="DR199" s="130"/>
      <c r="DS199" s="130"/>
      <c r="DT199" s="130"/>
      <c r="DU199" s="130"/>
      <c r="DV199" s="130"/>
      <c r="DW199" s="130"/>
      <c r="DX199" s="130"/>
      <c r="DY199" s="130"/>
      <c r="DZ199" s="130"/>
      <c r="EA199" s="130"/>
      <c r="EB199" s="130"/>
      <c r="EC199" s="130"/>
      <c r="ED199" s="130"/>
      <c r="EE199" s="130"/>
      <c r="EF199" s="130"/>
      <c r="EG199" s="130"/>
      <c r="EH199" s="130"/>
      <c r="EI199" s="130"/>
      <c r="EJ199" s="130"/>
      <c r="EK199" s="130"/>
      <c r="EL199" s="130"/>
      <c r="EM199" s="130"/>
      <c r="EN199" s="130"/>
      <c r="EO199" s="130"/>
      <c r="EP199" s="130"/>
      <c r="EQ199" s="130"/>
      <c r="ER199" s="130"/>
      <c r="ES199" s="130"/>
      <c r="ET199" s="130"/>
      <c r="EU199" s="130"/>
      <c r="EV199" s="130"/>
      <c r="EW199" s="130"/>
      <c r="EX199" s="130"/>
      <c r="EY199" s="130"/>
      <c r="EZ199" s="130"/>
      <c r="FA199" s="130"/>
      <c r="FB199" s="130"/>
      <c r="FC199" s="130"/>
      <c r="FD199" s="130"/>
      <c r="FE199" s="130"/>
      <c r="FF199" s="130"/>
      <c r="FG199" s="130"/>
      <c r="FH199" s="130"/>
      <c r="FI199" s="130"/>
      <c r="FJ199" s="130"/>
      <c r="FK199" s="130"/>
      <c r="FL199" s="130"/>
      <c r="FM199" s="130"/>
      <c r="FN199" s="130"/>
      <c r="FO199" s="130"/>
      <c r="FP199" s="130"/>
      <c r="FQ199" s="130"/>
      <c r="FR199" s="130"/>
      <c r="FS199" s="130"/>
      <c r="FT199" s="130"/>
      <c r="FU199" s="130"/>
      <c r="FV199" s="130"/>
      <c r="FW199" s="130"/>
      <c r="FX199" s="130"/>
      <c r="FY199" s="130"/>
      <c r="FZ199" s="130"/>
      <c r="GA199" s="130"/>
      <c r="GB199" s="130"/>
      <c r="GC199" s="130"/>
      <c r="GD199" s="130"/>
      <c r="GE199" s="130"/>
      <c r="GF199" s="130"/>
      <c r="GG199" s="130"/>
      <c r="GH199" s="130"/>
      <c r="GI199" s="130"/>
      <c r="GJ199" s="130"/>
      <c r="GK199" s="130"/>
      <c r="GL199" s="130"/>
      <c r="GM199" s="130"/>
      <c r="GN199" s="130"/>
      <c r="GO199" s="130"/>
      <c r="GP199" s="130"/>
      <c r="GQ199" s="130"/>
      <c r="GR199" s="130"/>
      <c r="GS199" s="130"/>
      <c r="GT199" s="130"/>
      <c r="GU199" s="130"/>
      <c r="GV199" s="130"/>
      <c r="GW199" s="130"/>
      <c r="GX199" s="130"/>
      <c r="GY199" s="130"/>
      <c r="GZ199" s="130"/>
      <c r="HA199" s="130"/>
      <c r="HB199" s="130"/>
      <c r="HC199" s="130"/>
      <c r="HD199" s="130"/>
      <c r="HE199" s="130"/>
      <c r="HF199" s="130"/>
      <c r="HG199" s="130"/>
      <c r="HH199" s="130"/>
      <c r="HI199" s="130"/>
      <c r="HJ199" s="130"/>
      <c r="HK199" s="130"/>
      <c r="HL199" s="130"/>
      <c r="HM199" s="130"/>
      <c r="HN199" s="130"/>
      <c r="HO199" s="130"/>
      <c r="HP199" s="130"/>
      <c r="HQ199" s="130"/>
      <c r="HR199" s="130"/>
      <c r="HS199" s="130"/>
      <c r="HT199" s="130"/>
      <c r="HU199" s="130"/>
      <c r="HV199" s="130"/>
      <c r="HW199" s="130"/>
      <c r="HX199" s="130"/>
      <c r="HY199" s="130"/>
      <c r="HZ199" s="130"/>
      <c r="IA199" s="130"/>
      <c r="IB199" s="130"/>
      <c r="IC199" s="130"/>
      <c r="ID199" s="130"/>
      <c r="IE199" s="130"/>
      <c r="IF199" s="130"/>
      <c r="IG199" s="130"/>
      <c r="IH199" s="130"/>
      <c r="II199" s="130"/>
      <c r="IJ199" s="130"/>
      <c r="IK199" s="130"/>
      <c r="IL199" s="130"/>
      <c r="IM199" s="130"/>
      <c r="IN199" s="130"/>
      <c r="IO199" s="130"/>
      <c r="IP199" s="130"/>
      <c r="IQ199" s="130"/>
    </row>
    <row r="200" spans="1:251" x14ac:dyDescent="0.2">
      <c r="B200" s="118"/>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c r="AA200" s="130"/>
      <c r="AB200" s="130"/>
      <c r="AC200" s="130"/>
      <c r="AD200" s="130"/>
      <c r="AE200" s="130"/>
      <c r="AF200" s="130"/>
      <c r="AG200" s="130"/>
      <c r="AH200" s="130"/>
      <c r="AI200" s="130"/>
      <c r="AJ200" s="130"/>
      <c r="AK200" s="130"/>
      <c r="AL200" s="130"/>
      <c r="AM200" s="130"/>
      <c r="AN200" s="130"/>
      <c r="AO200" s="130"/>
      <c r="AP200" s="130"/>
      <c r="AQ200" s="130"/>
      <c r="AR200" s="130"/>
      <c r="AS200" s="130"/>
      <c r="AT200" s="130"/>
      <c r="AU200" s="130"/>
      <c r="AV200" s="130"/>
      <c r="AW200" s="130"/>
      <c r="AX200" s="130"/>
      <c r="AY200" s="130"/>
      <c r="AZ200" s="130"/>
      <c r="BA200" s="130"/>
      <c r="BB200" s="130"/>
      <c r="BC200" s="130"/>
      <c r="BD200" s="130"/>
      <c r="BE200" s="130"/>
      <c r="BF200" s="130"/>
      <c r="BG200" s="130"/>
      <c r="BH200" s="130"/>
      <c r="BI200" s="130"/>
      <c r="BJ200" s="130"/>
      <c r="BK200" s="130"/>
      <c r="BL200" s="130"/>
      <c r="BM200" s="130"/>
      <c r="BN200" s="130"/>
      <c r="BO200" s="130"/>
      <c r="BP200" s="130"/>
      <c r="BQ200" s="130"/>
      <c r="BR200" s="130"/>
      <c r="BS200" s="130"/>
      <c r="BT200" s="130"/>
      <c r="BU200" s="130"/>
      <c r="BV200" s="130"/>
      <c r="BW200" s="130"/>
      <c r="BX200" s="130"/>
      <c r="BY200" s="130"/>
      <c r="BZ200" s="130"/>
      <c r="CA200" s="130"/>
      <c r="CB200" s="130"/>
      <c r="CC200" s="130"/>
      <c r="CD200" s="130"/>
      <c r="CE200" s="130"/>
      <c r="CF200" s="130"/>
      <c r="CG200" s="130"/>
      <c r="CH200" s="130"/>
      <c r="CI200" s="130"/>
      <c r="CJ200" s="130"/>
      <c r="CK200" s="130"/>
      <c r="CL200" s="130"/>
      <c r="CM200" s="130"/>
      <c r="CN200" s="130"/>
      <c r="CO200" s="130"/>
      <c r="CP200" s="130"/>
      <c r="CQ200" s="130"/>
      <c r="CR200" s="130"/>
      <c r="CS200" s="130"/>
      <c r="CT200" s="130"/>
      <c r="CU200" s="130"/>
      <c r="CV200" s="130"/>
      <c r="CW200" s="130"/>
      <c r="CX200" s="130"/>
      <c r="CY200" s="130"/>
      <c r="CZ200" s="130"/>
      <c r="DA200" s="130"/>
      <c r="DB200" s="130"/>
      <c r="DC200" s="130"/>
      <c r="DD200" s="130"/>
      <c r="DE200" s="130"/>
      <c r="DF200" s="130"/>
      <c r="DG200" s="130"/>
      <c r="DH200" s="130"/>
      <c r="DI200" s="130"/>
      <c r="DJ200" s="130"/>
      <c r="DK200" s="130"/>
      <c r="DL200" s="130"/>
      <c r="DM200" s="130"/>
      <c r="DN200" s="130"/>
      <c r="DO200" s="130"/>
      <c r="DP200" s="130"/>
      <c r="DQ200" s="130"/>
      <c r="DR200" s="130"/>
      <c r="DS200" s="130"/>
      <c r="DT200" s="130"/>
      <c r="DU200" s="130"/>
      <c r="DV200" s="130"/>
      <c r="DW200" s="130"/>
      <c r="DX200" s="130"/>
      <c r="DY200" s="130"/>
      <c r="DZ200" s="130"/>
      <c r="EA200" s="130"/>
      <c r="EB200" s="130"/>
      <c r="EC200" s="130"/>
      <c r="ED200" s="130"/>
      <c r="EE200" s="130"/>
      <c r="EF200" s="130"/>
      <c r="EG200" s="130"/>
      <c r="EH200" s="130"/>
      <c r="EI200" s="130"/>
      <c r="EJ200" s="130"/>
      <c r="EK200" s="130"/>
      <c r="EL200" s="130"/>
      <c r="EM200" s="130"/>
      <c r="EN200" s="130"/>
      <c r="EO200" s="130"/>
      <c r="EP200" s="130"/>
      <c r="EQ200" s="130"/>
      <c r="ER200" s="130"/>
      <c r="ES200" s="130"/>
      <c r="ET200" s="130"/>
      <c r="EU200" s="130"/>
      <c r="EV200" s="130"/>
      <c r="EW200" s="130"/>
      <c r="EX200" s="130"/>
      <c r="EY200" s="130"/>
      <c r="EZ200" s="130"/>
      <c r="FA200" s="130"/>
      <c r="FB200" s="130"/>
      <c r="FC200" s="130"/>
      <c r="FD200" s="130"/>
      <c r="FE200" s="130"/>
      <c r="FF200" s="130"/>
      <c r="FG200" s="130"/>
      <c r="FH200" s="130"/>
      <c r="FI200" s="130"/>
      <c r="FJ200" s="130"/>
      <c r="FK200" s="130"/>
      <c r="FL200" s="130"/>
      <c r="FM200" s="130"/>
      <c r="FN200" s="130"/>
      <c r="FO200" s="130"/>
      <c r="FP200" s="130"/>
      <c r="FQ200" s="130"/>
      <c r="FR200" s="130"/>
      <c r="FS200" s="130"/>
      <c r="FT200" s="130"/>
      <c r="FU200" s="130"/>
      <c r="FV200" s="130"/>
      <c r="FW200" s="130"/>
      <c r="FX200" s="130"/>
      <c r="FY200" s="130"/>
      <c r="FZ200" s="130"/>
      <c r="GA200" s="130"/>
      <c r="GB200" s="130"/>
      <c r="GC200" s="130"/>
      <c r="GD200" s="130"/>
      <c r="GE200" s="130"/>
      <c r="GF200" s="130"/>
      <c r="GG200" s="130"/>
      <c r="GH200" s="130"/>
      <c r="GI200" s="130"/>
      <c r="GJ200" s="130"/>
      <c r="GK200" s="130"/>
      <c r="GL200" s="130"/>
      <c r="GM200" s="130"/>
      <c r="GN200" s="130"/>
      <c r="GO200" s="130"/>
      <c r="GP200" s="130"/>
      <c r="GQ200" s="130"/>
      <c r="GR200" s="130"/>
      <c r="GS200" s="130"/>
      <c r="GT200" s="130"/>
      <c r="GU200" s="130"/>
      <c r="GV200" s="130"/>
      <c r="GW200" s="130"/>
      <c r="GX200" s="130"/>
      <c r="GY200" s="130"/>
      <c r="GZ200" s="130"/>
      <c r="HA200" s="130"/>
      <c r="HB200" s="130"/>
      <c r="HC200" s="130"/>
      <c r="HD200" s="130"/>
      <c r="HE200" s="130"/>
      <c r="HF200" s="130"/>
      <c r="HG200" s="130"/>
      <c r="HH200" s="130"/>
      <c r="HI200" s="130"/>
      <c r="HJ200" s="130"/>
      <c r="HK200" s="130"/>
      <c r="HL200" s="130"/>
      <c r="HM200" s="130"/>
      <c r="HN200" s="130"/>
      <c r="HO200" s="130"/>
      <c r="HP200" s="130"/>
      <c r="HQ200" s="130"/>
      <c r="HR200" s="130"/>
      <c r="HS200" s="130"/>
      <c r="HT200" s="130"/>
      <c r="HU200" s="130"/>
      <c r="HV200" s="130"/>
      <c r="HW200" s="130"/>
      <c r="HX200" s="130"/>
      <c r="HY200" s="130"/>
      <c r="HZ200" s="130"/>
      <c r="IA200" s="130"/>
      <c r="IB200" s="130"/>
      <c r="IC200" s="130"/>
      <c r="ID200" s="130"/>
      <c r="IE200" s="130"/>
      <c r="IF200" s="130"/>
      <c r="IG200" s="130"/>
      <c r="IH200" s="130"/>
      <c r="II200" s="130"/>
      <c r="IJ200" s="130"/>
      <c r="IK200" s="130"/>
      <c r="IL200" s="130"/>
      <c r="IM200" s="130"/>
      <c r="IN200" s="130"/>
      <c r="IO200" s="130"/>
      <c r="IP200" s="130"/>
      <c r="IQ200" s="130"/>
    </row>
    <row r="201" spans="1:251" x14ac:dyDescent="0.2">
      <c r="B201" s="118"/>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c r="BC201" s="130"/>
      <c r="BD201" s="130"/>
      <c r="BE201" s="130"/>
      <c r="BF201" s="130"/>
      <c r="BG201" s="130"/>
      <c r="BH201" s="130"/>
      <c r="BI201" s="130"/>
      <c r="BJ201" s="130"/>
      <c r="BK201" s="130"/>
      <c r="BL201" s="130"/>
      <c r="BM201" s="130"/>
      <c r="BN201" s="130"/>
      <c r="BO201" s="130"/>
      <c r="BP201" s="130"/>
      <c r="BQ201" s="130"/>
      <c r="BR201" s="130"/>
      <c r="BS201" s="130"/>
      <c r="BT201" s="130"/>
      <c r="BU201" s="130"/>
      <c r="BV201" s="130"/>
      <c r="BW201" s="130"/>
      <c r="BX201" s="130"/>
      <c r="BY201" s="130"/>
      <c r="BZ201" s="130"/>
      <c r="CA201" s="130"/>
      <c r="CB201" s="130"/>
      <c r="CC201" s="130"/>
      <c r="CD201" s="130"/>
      <c r="CE201" s="130"/>
      <c r="CF201" s="130"/>
      <c r="CG201" s="130"/>
      <c r="CH201" s="130"/>
      <c r="CI201" s="130"/>
      <c r="CJ201" s="130"/>
      <c r="CK201" s="130"/>
      <c r="CL201" s="130"/>
      <c r="CM201" s="130"/>
      <c r="CN201" s="130"/>
      <c r="CO201" s="130"/>
      <c r="CP201" s="130"/>
      <c r="CQ201" s="130"/>
      <c r="CR201" s="130"/>
      <c r="CS201" s="130"/>
      <c r="CT201" s="130"/>
      <c r="CU201" s="130"/>
      <c r="CV201" s="130"/>
      <c r="CW201" s="130"/>
      <c r="CX201" s="130"/>
      <c r="CY201" s="130"/>
      <c r="CZ201" s="130"/>
      <c r="DA201" s="130"/>
      <c r="DB201" s="130"/>
      <c r="DC201" s="130"/>
      <c r="DD201" s="130"/>
      <c r="DE201" s="130"/>
      <c r="DF201" s="130"/>
      <c r="DG201" s="130"/>
      <c r="DH201" s="130"/>
      <c r="DI201" s="130"/>
      <c r="DJ201" s="130"/>
      <c r="DK201" s="130"/>
      <c r="DL201" s="130"/>
      <c r="DM201" s="130"/>
      <c r="DN201" s="130"/>
      <c r="DO201" s="130"/>
      <c r="DP201" s="130"/>
      <c r="DQ201" s="130"/>
      <c r="DR201" s="130"/>
      <c r="DS201" s="130"/>
      <c r="DT201" s="130"/>
      <c r="DU201" s="130"/>
      <c r="DV201" s="130"/>
      <c r="DW201" s="130"/>
      <c r="DX201" s="130"/>
      <c r="DY201" s="130"/>
      <c r="DZ201" s="130"/>
      <c r="EA201" s="130"/>
      <c r="EB201" s="130"/>
      <c r="EC201" s="130"/>
      <c r="ED201" s="130"/>
      <c r="EE201" s="130"/>
      <c r="EF201" s="130"/>
      <c r="EG201" s="130"/>
      <c r="EH201" s="130"/>
      <c r="EI201" s="130"/>
      <c r="EJ201" s="130"/>
      <c r="EK201" s="130"/>
      <c r="EL201" s="130"/>
      <c r="EM201" s="130"/>
      <c r="EN201" s="130"/>
      <c r="EO201" s="130"/>
      <c r="EP201" s="130"/>
      <c r="EQ201" s="130"/>
      <c r="ER201" s="130"/>
      <c r="ES201" s="130"/>
      <c r="ET201" s="130"/>
      <c r="EU201" s="130"/>
      <c r="EV201" s="130"/>
      <c r="EW201" s="130"/>
      <c r="EX201" s="130"/>
      <c r="EY201" s="130"/>
      <c r="EZ201" s="130"/>
      <c r="FA201" s="130"/>
      <c r="FB201" s="130"/>
      <c r="FC201" s="130"/>
      <c r="FD201" s="130"/>
      <c r="FE201" s="130"/>
      <c r="FF201" s="130"/>
      <c r="FG201" s="130"/>
      <c r="FH201" s="130"/>
      <c r="FI201" s="130"/>
      <c r="FJ201" s="130"/>
      <c r="FK201" s="130"/>
      <c r="FL201" s="130"/>
      <c r="FM201" s="130"/>
      <c r="FN201" s="130"/>
      <c r="FO201" s="130"/>
      <c r="FP201" s="130"/>
      <c r="FQ201" s="130"/>
      <c r="FR201" s="130"/>
      <c r="FS201" s="130"/>
      <c r="FT201" s="130"/>
      <c r="FU201" s="130"/>
      <c r="FV201" s="130"/>
      <c r="FW201" s="130"/>
      <c r="FX201" s="130"/>
      <c r="FY201" s="130"/>
      <c r="FZ201" s="130"/>
      <c r="GA201" s="130"/>
      <c r="GB201" s="130"/>
      <c r="GC201" s="130"/>
      <c r="GD201" s="130"/>
      <c r="GE201" s="130"/>
      <c r="GF201" s="130"/>
      <c r="GG201" s="130"/>
      <c r="GH201" s="130"/>
      <c r="GI201" s="130"/>
      <c r="GJ201" s="130"/>
      <c r="GK201" s="130"/>
      <c r="GL201" s="130"/>
      <c r="GM201" s="130"/>
      <c r="GN201" s="130"/>
      <c r="GO201" s="130"/>
      <c r="GP201" s="130"/>
      <c r="GQ201" s="130"/>
      <c r="GR201" s="130"/>
      <c r="GS201" s="130"/>
      <c r="GT201" s="130"/>
      <c r="GU201" s="130"/>
      <c r="GV201" s="130"/>
      <c r="GW201" s="130"/>
      <c r="GX201" s="130"/>
      <c r="GY201" s="130"/>
      <c r="GZ201" s="130"/>
      <c r="HA201" s="130"/>
      <c r="HB201" s="130"/>
      <c r="HC201" s="130"/>
      <c r="HD201" s="130"/>
      <c r="HE201" s="130"/>
      <c r="HF201" s="130"/>
      <c r="HG201" s="130"/>
      <c r="HH201" s="130"/>
      <c r="HI201" s="130"/>
      <c r="HJ201" s="130"/>
      <c r="HK201" s="130"/>
      <c r="HL201" s="130"/>
      <c r="HM201" s="130"/>
      <c r="HN201" s="130"/>
      <c r="HO201" s="130"/>
      <c r="HP201" s="130"/>
      <c r="HQ201" s="130"/>
      <c r="HR201" s="130"/>
      <c r="HS201" s="130"/>
      <c r="HT201" s="130"/>
      <c r="HU201" s="130"/>
      <c r="HV201" s="130"/>
      <c r="HW201" s="130"/>
      <c r="HX201" s="130"/>
      <c r="HY201" s="130"/>
      <c r="HZ201" s="130"/>
      <c r="IA201" s="130"/>
      <c r="IB201" s="130"/>
      <c r="IC201" s="130"/>
      <c r="ID201" s="130"/>
      <c r="IE201" s="130"/>
      <c r="IF201" s="130"/>
      <c r="IG201" s="130"/>
      <c r="IH201" s="130"/>
      <c r="II201" s="130"/>
      <c r="IJ201" s="130"/>
      <c r="IK201" s="130"/>
      <c r="IL201" s="130"/>
      <c r="IM201" s="130"/>
      <c r="IN201" s="130"/>
      <c r="IO201" s="130"/>
      <c r="IP201" s="130"/>
      <c r="IQ201" s="130"/>
    </row>
    <row r="202" spans="1:251" s="113" customFormat="1" x14ac:dyDescent="0.2">
      <c r="A202" s="110"/>
      <c r="B202" s="118"/>
      <c r="C202" s="110"/>
    </row>
    <row r="203" spans="1:251" x14ac:dyDescent="0.2">
      <c r="B203" s="118"/>
    </row>
    <row r="204" spans="1:251" x14ac:dyDescent="0.2">
      <c r="B204" s="118"/>
    </row>
    <row r="205" spans="1:251" x14ac:dyDescent="0.2">
      <c r="B205" s="118"/>
    </row>
    <row r="206" spans="1:251" x14ac:dyDescent="0.2">
      <c r="B206" s="118"/>
    </row>
    <row r="207" spans="1:251" x14ac:dyDescent="0.2">
      <c r="B207" s="118"/>
    </row>
    <row r="208" spans="1:251" x14ac:dyDescent="0.2">
      <c r="B208" s="118"/>
    </row>
    <row r="209" spans="2:2" x14ac:dyDescent="0.2">
      <c r="B209" s="118"/>
    </row>
    <row r="210" spans="2:2" x14ac:dyDescent="0.2">
      <c r="B210" s="118"/>
    </row>
    <row r="211" spans="2:2" x14ac:dyDescent="0.2">
      <c r="B211" s="118"/>
    </row>
    <row r="212" spans="2:2" x14ac:dyDescent="0.2">
      <c r="B212" s="118"/>
    </row>
    <row r="213" spans="2:2" x14ac:dyDescent="0.2">
      <c r="B213" s="118"/>
    </row>
    <row r="214" spans="2:2" x14ac:dyDescent="0.2">
      <c r="B214" s="118"/>
    </row>
    <row r="215" spans="2:2" x14ac:dyDescent="0.2">
      <c r="B215" s="118"/>
    </row>
    <row r="216" spans="2:2" x14ac:dyDescent="0.2">
      <c r="B216" s="118"/>
    </row>
    <row r="217" spans="2:2" x14ac:dyDescent="0.2">
      <c r="B217" s="118"/>
    </row>
    <row r="218" spans="2:2" x14ac:dyDescent="0.2">
      <c r="B218" s="118"/>
    </row>
    <row r="219" spans="2:2" x14ac:dyDescent="0.2">
      <c r="B219" s="118"/>
    </row>
    <row r="220" spans="2:2" x14ac:dyDescent="0.2">
      <c r="B220" s="118"/>
    </row>
    <row r="221" spans="2:2" x14ac:dyDescent="0.2">
      <c r="B221" s="118"/>
    </row>
    <row r="222" spans="2:2" x14ac:dyDescent="0.2">
      <c r="B222" s="118"/>
    </row>
    <row r="223" spans="2:2" x14ac:dyDescent="0.2">
      <c r="B223" s="118"/>
    </row>
    <row r="224" spans="2:2" x14ac:dyDescent="0.2">
      <c r="B224" s="118"/>
    </row>
    <row r="225" spans="2:3" x14ac:dyDescent="0.2">
      <c r="B225" s="118"/>
    </row>
    <row r="226" spans="2:3" x14ac:dyDescent="0.2">
      <c r="B226" s="118"/>
    </row>
    <row r="227" spans="2:3" x14ac:dyDescent="0.2">
      <c r="B227" s="118"/>
    </row>
    <row r="228" spans="2:3" x14ac:dyDescent="0.2">
      <c r="B228" s="118"/>
    </row>
    <row r="229" spans="2:3" x14ac:dyDescent="0.2">
      <c r="B229" s="118"/>
    </row>
    <row r="230" spans="2:3" x14ac:dyDescent="0.2">
      <c r="B230" s="118"/>
    </row>
    <row r="231" spans="2:3" x14ac:dyDescent="0.2">
      <c r="B231" s="118"/>
    </row>
    <row r="232" spans="2:3" x14ac:dyDescent="0.2">
      <c r="B232" s="118"/>
    </row>
    <row r="233" spans="2:3" x14ac:dyDescent="0.2">
      <c r="B233" s="118"/>
    </row>
    <row r="234" spans="2:3" x14ac:dyDescent="0.2">
      <c r="B234" s="118"/>
      <c r="C234" s="113"/>
    </row>
    <row r="235" spans="2:3" x14ac:dyDescent="0.2">
      <c r="B235" s="118"/>
    </row>
    <row r="236" spans="2:3" x14ac:dyDescent="0.2">
      <c r="B236" s="118"/>
    </row>
    <row r="237" spans="2:3" x14ac:dyDescent="0.2">
      <c r="B237" s="118"/>
    </row>
    <row r="238" spans="2:3" x14ac:dyDescent="0.2">
      <c r="B238" s="118"/>
    </row>
    <row r="239" spans="2:3" x14ac:dyDescent="0.2">
      <c r="B239" s="118"/>
    </row>
    <row r="240" spans="2:3" x14ac:dyDescent="0.2">
      <c r="B240" s="118"/>
    </row>
    <row r="241" spans="1:2" x14ac:dyDescent="0.2">
      <c r="B241" s="118"/>
    </row>
    <row r="242" spans="1:2" x14ac:dyDescent="0.2">
      <c r="B242" s="118"/>
    </row>
    <row r="243" spans="1:2" x14ac:dyDescent="0.2">
      <c r="B243" s="118"/>
    </row>
    <row r="244" spans="1:2" x14ac:dyDescent="0.2">
      <c r="B244" s="118"/>
    </row>
    <row r="245" spans="1:2" x14ac:dyDescent="0.2">
      <c r="B245" s="118"/>
    </row>
    <row r="246" spans="1:2" x14ac:dyDescent="0.2">
      <c r="B246" s="118"/>
    </row>
    <row r="247" spans="1:2" x14ac:dyDescent="0.2">
      <c r="A247" s="116" t="str">
        <f>IF(ISBLANK(B247),"",IF($A$2=1,B247,IF($A$2=2,C247,IF($A$2=3,#REF!,""))))</f>
        <v/>
      </c>
      <c r="B247" s="118"/>
    </row>
    <row r="248" spans="1:2" x14ac:dyDescent="0.2">
      <c r="A248" s="116" t="str">
        <f>IF(ISBLANK(B248),"",IF($A$2=1,B248,IF($A$2=2,C248,IF($A$2=3,#REF!,""))))</f>
        <v/>
      </c>
      <c r="B248" s="118"/>
    </row>
    <row r="249" spans="1:2" x14ac:dyDescent="0.2">
      <c r="A249" s="116" t="str">
        <f>IF(ISBLANK(B249),"",IF($A$2=1,B249,IF($A$2=2,C249,IF($A$2=3,#REF!,""))))</f>
        <v/>
      </c>
      <c r="B249" s="118"/>
    </row>
    <row r="250" spans="1:2" x14ac:dyDescent="0.2">
      <c r="A250" s="116" t="str">
        <f>IF(ISBLANK(B250),"",IF($A$2=1,B250,IF($A$2=2,C250,IF($A$2=3,#REF!,""))))</f>
        <v/>
      </c>
      <c r="B250" s="118"/>
    </row>
    <row r="251" spans="1:2" x14ac:dyDescent="0.2">
      <c r="A251" s="116" t="str">
        <f>IF(ISBLANK(B251),"",IF($A$2=1,B251,IF($A$2=2,C251,IF($A$2=3,#REF!,""))))</f>
        <v/>
      </c>
      <c r="B251" s="118"/>
    </row>
    <row r="252" spans="1:2" x14ac:dyDescent="0.2">
      <c r="A252" s="116" t="str">
        <f>IF(ISBLANK(B252),"",IF($A$2=1,B252,IF($A$2=2,C252,IF($A$2=3,#REF!,""))))</f>
        <v/>
      </c>
      <c r="B252" s="118"/>
    </row>
    <row r="253" spans="1:2" x14ac:dyDescent="0.2">
      <c r="A253" s="116" t="str">
        <f>IF(ISBLANK(B253),"",IF($A$2=1,B253,IF($A$2=2,C253,IF($A$2=3,#REF!,""))))</f>
        <v/>
      </c>
      <c r="B253" s="118"/>
    </row>
    <row r="254" spans="1:2" x14ac:dyDescent="0.2">
      <c r="A254" s="116" t="str">
        <f>IF(ISBLANK(B254),"",IF($A$2=1,B254,IF($A$2=2,C254,IF($A$2=3,#REF!,""))))</f>
        <v/>
      </c>
      <c r="B254" s="118"/>
    </row>
    <row r="255" spans="1:2" x14ac:dyDescent="0.2">
      <c r="A255" s="116" t="str">
        <f>IF(ISBLANK(B255),"",IF($A$2=1,B255,IF($A$2=2,C255,IF($A$2=3,#REF!,""))))</f>
        <v/>
      </c>
      <c r="B255" s="118"/>
    </row>
    <row r="256" spans="1:2" x14ac:dyDescent="0.2">
      <c r="A256" s="116" t="str">
        <f>IF(ISBLANK(B256),"",IF($A$2=1,B256,IF($A$2=2,C256,IF($A$2=3,#REF!,""))))</f>
        <v/>
      </c>
      <c r="B256" s="118"/>
    </row>
    <row r="257" spans="1:3" x14ac:dyDescent="0.2">
      <c r="A257" s="116" t="str">
        <f>IF(ISBLANK(B257),"",IF($A$2=1,B257,IF($A$2=2,C257,IF($A$2=3,#REF!,""))))</f>
        <v/>
      </c>
      <c r="B257" s="118"/>
    </row>
    <row r="258" spans="1:3" x14ac:dyDescent="0.2">
      <c r="A258" s="116" t="str">
        <f>IF(ISBLANK(B258),"",IF($A$2=1,B258,IF($A$2=2,C258,IF($A$2=3,#REF!,""))))</f>
        <v/>
      </c>
      <c r="B258" s="118"/>
    </row>
    <row r="259" spans="1:3" x14ac:dyDescent="0.2">
      <c r="A259" s="116" t="str">
        <f>IF(ISBLANK(B259),"",IF($A$2=1,B259,IF($A$2=2,C259,IF($A$2=3,#REF!,""))))</f>
        <v/>
      </c>
      <c r="B259" s="118"/>
    </row>
    <row r="260" spans="1:3" x14ac:dyDescent="0.2">
      <c r="A260" s="116" t="str">
        <f>IF(ISBLANK(B260),"",IF($A$2=1,B260,IF($A$2=2,C260,IF($A$2=3,#REF!,""))))</f>
        <v/>
      </c>
      <c r="B260" s="118"/>
    </row>
    <row r="261" spans="1:3" s="113" customFormat="1" x14ac:dyDescent="0.2">
      <c r="A261" s="116" t="str">
        <f>IF(ISBLANK(B261),"",IF($A$2=1,B261,IF($A$2=2,C261,IF($A$2=3,#REF!,""))))</f>
        <v/>
      </c>
      <c r="B261" s="118"/>
      <c r="C261" s="110"/>
    </row>
    <row r="262" spans="1:3" x14ac:dyDescent="0.2">
      <c r="A262" s="116" t="str">
        <f>IF(ISBLANK(B262),"",IF($A$2=1,B262,IF($A$2=2,C262,IF($A$2=3,#REF!,""))))</f>
        <v/>
      </c>
      <c r="B262" s="118"/>
    </row>
    <row r="263" spans="1:3" x14ac:dyDescent="0.2">
      <c r="A263" s="116" t="str">
        <f>IF(ISBLANK(B263),"",IF($A$2=1,B263,IF($A$2=2,C263,IF($A$2=3,#REF!,""))))</f>
        <v/>
      </c>
      <c r="B263" s="118"/>
    </row>
    <row r="264" spans="1:3" x14ac:dyDescent="0.2">
      <c r="A264" s="116" t="str">
        <f>IF(ISBLANK(B264),"",IF($A$2=1,B264,IF($A$2=2,C264,IF($A$2=3,#REF!,""))))</f>
        <v/>
      </c>
      <c r="B264" s="118"/>
    </row>
    <row r="265" spans="1:3" x14ac:dyDescent="0.2">
      <c r="A265" s="116" t="str">
        <f>IF(ISBLANK(B265),"",IF($A$2=1,B265,IF($A$2=2,C265,IF($A$2=3,#REF!,""))))</f>
        <v/>
      </c>
      <c r="B265" s="118"/>
    </row>
    <row r="266" spans="1:3" x14ac:dyDescent="0.2">
      <c r="A266" s="116" t="str">
        <f>IF(ISBLANK(B266),"",IF($A$2=1,B266,IF($A$2=2,C266,IF($A$2=3,#REF!,""))))</f>
        <v/>
      </c>
      <c r="B266" s="118"/>
    </row>
    <row r="267" spans="1:3" x14ac:dyDescent="0.2">
      <c r="A267" s="116" t="str">
        <f>IF(ISBLANK(B267),"",IF($A$2=1,B267,IF($A$2=2,C267,IF($A$2=3,#REF!,""))))</f>
        <v/>
      </c>
      <c r="B267" s="118"/>
    </row>
    <row r="268" spans="1:3" x14ac:dyDescent="0.2">
      <c r="A268" s="116" t="str">
        <f>IF(ISBLANK(B268),"",IF($A$2=1,B268,IF($A$2=2,C268,IF($A$2=3,#REF!,""))))</f>
        <v/>
      </c>
      <c r="B268" s="118"/>
    </row>
    <row r="269" spans="1:3" x14ac:dyDescent="0.2">
      <c r="A269" s="116" t="str">
        <f>IF(ISBLANK(B269),"",IF($A$2=1,B269,IF($A$2=2,C269,IF($A$2=3,#REF!,""))))</f>
        <v/>
      </c>
      <c r="B269" s="118"/>
    </row>
    <row r="270" spans="1:3" x14ac:dyDescent="0.2">
      <c r="A270" s="116" t="str">
        <f>IF(ISBLANK(B270),"",IF($A$2=1,B270,IF($A$2=2,C270,IF($A$2=3,#REF!,""))))</f>
        <v/>
      </c>
      <c r="B270" s="118"/>
    </row>
    <row r="271" spans="1:3" x14ac:dyDescent="0.2">
      <c r="A271" s="116" t="str">
        <f>IF(ISBLANK(B271),"",IF($A$2=1,B271,IF($A$2=2,C271,IF($A$2=3,#REF!,""))))</f>
        <v/>
      </c>
      <c r="B271" s="118"/>
    </row>
    <row r="272" spans="1:3" x14ac:dyDescent="0.2">
      <c r="A272" s="116" t="str">
        <f>IF(ISBLANK(B272),"",IF($A$2=1,B272,IF($A$2=2,C272,IF($A$2=3,#REF!,""))))</f>
        <v/>
      </c>
      <c r="B272" s="118"/>
    </row>
    <row r="273" spans="1:3" x14ac:dyDescent="0.2">
      <c r="A273" s="116" t="str">
        <f>IF(ISBLANK(B273),"",IF($A$2=1,B273,IF($A$2=2,C273,IF($A$2=3,#REF!,""))))</f>
        <v/>
      </c>
      <c r="B273" s="118"/>
    </row>
    <row r="274" spans="1:3" x14ac:dyDescent="0.2">
      <c r="A274" s="116" t="str">
        <f>IF(ISBLANK(B274),"",IF($A$2=1,B274,IF($A$2=2,C274,IF($A$2=3,#REF!,""))))</f>
        <v/>
      </c>
      <c r="B274" s="118"/>
    </row>
    <row r="275" spans="1:3" x14ac:dyDescent="0.2">
      <c r="A275" s="116" t="str">
        <f>IF(ISBLANK(B275),"",IF($A$2=1,B275,IF($A$2=2,C275,IF($A$2=3,#REF!,""))))</f>
        <v/>
      </c>
      <c r="B275" s="118"/>
    </row>
    <row r="276" spans="1:3" x14ac:dyDescent="0.2">
      <c r="A276" s="116" t="str">
        <f>IF(ISBLANK(B276),"",IF($A$2=1,B276,IF($A$2=2,C276,IF($A$2=3,#REF!,""))))</f>
        <v/>
      </c>
      <c r="B276" s="118"/>
    </row>
    <row r="277" spans="1:3" x14ac:dyDescent="0.2">
      <c r="A277" s="116" t="str">
        <f>IF(ISBLANK(B277),"",IF($A$2=1,B277,IF($A$2=2,C277,IF($A$2=3,#REF!,""))))</f>
        <v/>
      </c>
      <c r="B277" s="118"/>
    </row>
    <row r="278" spans="1:3" x14ac:dyDescent="0.2">
      <c r="A278" s="116" t="str">
        <f>IF(ISBLANK(B278),"",IF($A$2=1,B278,IF($A$2=2,C278,IF($A$2=3,#REF!,""))))</f>
        <v/>
      </c>
      <c r="B278" s="118"/>
    </row>
    <row r="279" spans="1:3" x14ac:dyDescent="0.2">
      <c r="A279" s="116" t="str">
        <f>IF(ISBLANK(B279),"",IF($A$2=1,B279,IF($A$2=2,C279,IF($A$2=3,#REF!,""))))</f>
        <v/>
      </c>
      <c r="B279" s="118"/>
    </row>
    <row r="280" spans="1:3" x14ac:dyDescent="0.2">
      <c r="A280" s="116" t="str">
        <f>IF(ISBLANK(B280),"",IF($A$2=1,B280,IF($A$2=2,C280,IF($A$2=3,#REF!,""))))</f>
        <v/>
      </c>
      <c r="B280" s="131"/>
    </row>
    <row r="281" spans="1:3" x14ac:dyDescent="0.2">
      <c r="A281" s="116" t="str">
        <f>IF(ISBLANK(B281),"",IF($A$2=1,B281,IF($A$2=2,C281,IF($A$2=3,#REF!,""))))</f>
        <v/>
      </c>
      <c r="B281" s="131"/>
    </row>
    <row r="282" spans="1:3" x14ac:dyDescent="0.2">
      <c r="A282" s="116" t="str">
        <f>IF(ISBLANK(B282),"",IF($A$2=1,B282,IF($A$2=2,C282,IF($A$2=3,#REF!,""))))</f>
        <v/>
      </c>
      <c r="B282" s="118"/>
    </row>
    <row r="283" spans="1:3" x14ac:dyDescent="0.2">
      <c r="A283" s="116" t="str">
        <f>IF(ISBLANK(B283),"",IF($A$2=1,B283,IF($A$2=2,C283,IF($A$2=3,#REF!,""))))</f>
        <v/>
      </c>
      <c r="B283" s="118"/>
      <c r="C283" s="132"/>
    </row>
    <row r="284" spans="1:3" x14ac:dyDescent="0.2">
      <c r="A284" s="116" t="str">
        <f>IF(ISBLANK(B284),"",IF($A$2=1,B284,IF($A$2=2,C284,IF($A$2=3,#REF!,""))))</f>
        <v/>
      </c>
      <c r="B284" s="118"/>
      <c r="C284" s="132"/>
    </row>
    <row r="285" spans="1:3" x14ac:dyDescent="0.2">
      <c r="A285" s="116" t="str">
        <f>IF(ISBLANK(B285),"",IF($A$2=1,B285,IF($A$2=2,C285,IF($A$2=3,#REF!,""))))</f>
        <v/>
      </c>
      <c r="B285" s="118"/>
    </row>
    <row r="286" spans="1:3" x14ac:dyDescent="0.2">
      <c r="A286" s="116" t="str">
        <f>IF(ISBLANK(B286),"",IF($A$2=1,B286,IF($A$2=2,C286,IF($A$2=3,#REF!,""))))</f>
        <v/>
      </c>
      <c r="B286" s="118"/>
    </row>
    <row r="287" spans="1:3" x14ac:dyDescent="0.2">
      <c r="A287" s="116" t="str">
        <f>IF(ISBLANK(B287),"",IF($A$2=1,B287,IF($A$2=2,C287,IF($A$2=3,#REF!,""))))</f>
        <v/>
      </c>
      <c r="B287" s="118"/>
    </row>
    <row r="288" spans="1:3" x14ac:dyDescent="0.2">
      <c r="A288" s="116" t="str">
        <f>IF(ISBLANK(B288),"",IF($A$2=1,B288,IF($A$2=2,C288,IF($A$2=3,#REF!,""))))</f>
        <v/>
      </c>
      <c r="B288" s="118"/>
    </row>
    <row r="289" spans="1:3" x14ac:dyDescent="0.2">
      <c r="A289" s="116" t="str">
        <f>IF(ISBLANK(B289),"",IF($A$2=1,B289,IF($A$2=2,C289,IF($A$2=3,#REF!,""))))</f>
        <v/>
      </c>
      <c r="B289" s="118"/>
    </row>
    <row r="290" spans="1:3" x14ac:dyDescent="0.2">
      <c r="A290" s="116" t="str">
        <f>IF(ISBLANK(B290),"",IF($A$2=1,B290,IF($A$2=2,C290,IF($A$2=3,#REF!,""))))</f>
        <v/>
      </c>
      <c r="B290" s="118"/>
    </row>
    <row r="291" spans="1:3" x14ac:dyDescent="0.2">
      <c r="A291" s="116" t="str">
        <f>IF(ISBLANK(B291),"",IF($A$2=1,B291,IF($A$2=2,C291,IF($A$2=3,#REF!,""))))</f>
        <v/>
      </c>
      <c r="B291" s="118"/>
    </row>
    <row r="292" spans="1:3" x14ac:dyDescent="0.2">
      <c r="A292" s="116" t="str">
        <f>IF(ISBLANK(B292),"",IF($A$2=1,B292,IF($A$2=2,C292,IF($A$2=3,#REF!,""))))</f>
        <v/>
      </c>
      <c r="B292" s="118"/>
    </row>
    <row r="293" spans="1:3" x14ac:dyDescent="0.2">
      <c r="A293" s="116" t="str">
        <f>IF(ISBLANK(B293),"",IF($A$2=1,B293,IF($A$2=2,C293,IF($A$2=3,#REF!,""))))</f>
        <v/>
      </c>
      <c r="B293" s="118"/>
      <c r="C293" s="113"/>
    </row>
    <row r="294" spans="1:3" x14ac:dyDescent="0.2">
      <c r="A294" s="116" t="str">
        <f>IF(ISBLANK(B294),"",IF($A$2=1,B294,IF($A$2=2,C294,IF($A$2=3,#REF!,""))))</f>
        <v/>
      </c>
      <c r="B294" s="118"/>
    </row>
    <row r="295" spans="1:3" x14ac:dyDescent="0.2">
      <c r="A295" s="116" t="str">
        <f>IF(ISBLANK(B295),"",IF($A$2=1,B295,IF($A$2=2,C295,IF($A$2=3,#REF!,""))))</f>
        <v/>
      </c>
      <c r="B295" s="118"/>
    </row>
    <row r="296" spans="1:3" x14ac:dyDescent="0.2">
      <c r="A296" s="116" t="str">
        <f>IF(ISBLANK(B296),"",IF($A$2=1,B296,IF($A$2=2,C296,IF($A$2=3,#REF!,""))))</f>
        <v/>
      </c>
      <c r="B296" s="118"/>
    </row>
    <row r="297" spans="1:3" x14ac:dyDescent="0.2">
      <c r="A297" s="116" t="str">
        <f>IF(ISBLANK(B297),"",IF($A$2=1,B297,IF($A$2=2,C297,IF($A$2=3,#REF!,""))))</f>
        <v/>
      </c>
      <c r="B297" s="118"/>
    </row>
    <row r="298" spans="1:3" x14ac:dyDescent="0.2">
      <c r="A298" s="116" t="str">
        <f>IF(ISBLANK(B298),"",IF($A$2=1,B298,IF($A$2=2,C298,IF($A$2=3,#REF!,""))))</f>
        <v/>
      </c>
      <c r="B298" s="118"/>
    </row>
    <row r="299" spans="1:3" x14ac:dyDescent="0.2">
      <c r="A299" s="116" t="str">
        <f>IF(ISBLANK(B299),"",IF($A$2=1,B299,IF($A$2=2,C299,IF($A$2=3,#REF!,""))))</f>
        <v/>
      </c>
      <c r="B299" s="118"/>
    </row>
    <row r="300" spans="1:3" x14ac:dyDescent="0.2">
      <c r="A300" s="116" t="str">
        <f>IF(ISBLANK(B300),"",IF($A$2=1,B300,IF($A$2=2,C300,IF($A$2=3,#REF!,""))))</f>
        <v/>
      </c>
      <c r="B300" s="118"/>
    </row>
    <row r="301" spans="1:3" x14ac:dyDescent="0.2">
      <c r="A301" s="116" t="str">
        <f>IF(ISBLANK(B301),"",IF($A$2=1,B301,IF($A$2=2,C301,IF($A$2=3,#REF!,""))))</f>
        <v/>
      </c>
      <c r="B301" s="118"/>
    </row>
    <row r="302" spans="1:3" x14ac:dyDescent="0.2">
      <c r="A302" s="116" t="str">
        <f>IF(ISBLANK(B302),"",IF($A$2=1,B302,IF($A$2=2,C302,IF($A$2=3,#REF!,""))))</f>
        <v/>
      </c>
      <c r="B302" s="118"/>
    </row>
    <row r="303" spans="1:3" x14ac:dyDescent="0.2">
      <c r="A303" s="116" t="str">
        <f>IF(ISBLANK(B303),"",IF($A$2=1,B303,IF($A$2=2,C303,IF($A$2=3,#REF!,""))))</f>
        <v/>
      </c>
      <c r="B303" s="118"/>
    </row>
    <row r="304" spans="1:3" x14ac:dyDescent="0.2">
      <c r="A304" s="116" t="str">
        <f>IF(ISBLANK(B304),"",IF($A$2=1,B304,IF($A$2=2,C304,IF($A$2=3,#REF!,""))))</f>
        <v/>
      </c>
      <c r="B304" s="118"/>
    </row>
    <row r="305" spans="1:3" x14ac:dyDescent="0.2">
      <c r="A305" s="116" t="str">
        <f>IF(ISBLANK(B305),"",IF($A$2=1,B305,IF($A$2=2,C305,IF($A$2=3,#REF!,""))))</f>
        <v/>
      </c>
      <c r="B305" s="118"/>
    </row>
    <row r="306" spans="1:3" x14ac:dyDescent="0.2">
      <c r="A306" s="116" t="str">
        <f>IF(ISBLANK(B306),"",IF($A$2=1,B306,IF($A$2=2,C306,IF($A$2=3,#REF!,""))))</f>
        <v/>
      </c>
      <c r="B306" s="118"/>
    </row>
    <row r="307" spans="1:3" x14ac:dyDescent="0.2">
      <c r="A307" s="116" t="str">
        <f>IF(ISBLANK(B307),"",IF($A$2=1,B307,IF($A$2=2,C307,IF($A$2=3,#REF!,""))))</f>
        <v/>
      </c>
      <c r="B307" s="118"/>
    </row>
    <row r="308" spans="1:3" x14ac:dyDescent="0.2">
      <c r="A308" s="116" t="str">
        <f>IF(ISBLANK(B308),"",IF($A$2=1,B308,IF($A$2=2,C308,IF($A$2=3,#REF!,""))))</f>
        <v/>
      </c>
      <c r="B308" s="118"/>
    </row>
    <row r="309" spans="1:3" x14ac:dyDescent="0.2">
      <c r="A309" s="116" t="str">
        <f>IF(ISBLANK(B309),"",IF($A$2=1,B309,IF($A$2=2,C309,IF($A$2=3,#REF!,""))))</f>
        <v/>
      </c>
      <c r="B309" s="118"/>
    </row>
    <row r="310" spans="1:3" x14ac:dyDescent="0.2">
      <c r="A310" s="116" t="str">
        <f>IF(ISBLANK(B310),"",IF($A$2=1,B310,IF($A$2=2,C310,IF($A$2=3,#REF!,""))))</f>
        <v/>
      </c>
      <c r="B310" s="118"/>
    </row>
    <row r="311" spans="1:3" x14ac:dyDescent="0.2">
      <c r="A311" s="116" t="str">
        <f>IF(ISBLANK(B311),"",IF($A$2=1,B311,IF($A$2=2,C311,IF($A$2=3,#REF!,""))))</f>
        <v/>
      </c>
      <c r="B311" s="118"/>
    </row>
    <row r="312" spans="1:3" x14ac:dyDescent="0.2">
      <c r="A312" s="116" t="str">
        <f>IF(ISBLANK(B312),"",IF($A$2=1,B312,IF($A$2=2,C312,IF($A$2=3,#REF!,""))))</f>
        <v/>
      </c>
      <c r="B312" s="118"/>
    </row>
    <row r="313" spans="1:3" x14ac:dyDescent="0.2">
      <c r="A313" s="116" t="str">
        <f>IF(ISBLANK(B313),"",IF($A$2=1,B313,IF($A$2=2,C313,IF($A$2=3,#REF!,""))))</f>
        <v/>
      </c>
      <c r="B313" s="118"/>
    </row>
    <row r="314" spans="1:3" x14ac:dyDescent="0.2">
      <c r="A314" s="116" t="str">
        <f>IF(ISBLANK(B314),"",IF($A$2=1,B314,IF($A$2=2,C314,IF($A$2=3,#REF!,""))))</f>
        <v/>
      </c>
      <c r="B314" s="118"/>
    </row>
    <row r="315" spans="1:3" x14ac:dyDescent="0.2">
      <c r="A315" s="116" t="str">
        <f>IF(ISBLANK(B315),"",IF($A$2=1,B315,IF($A$2=2,C315,IF($A$2=3,#REF!,""))))</f>
        <v/>
      </c>
      <c r="B315" s="118"/>
    </row>
    <row r="316" spans="1:3" x14ac:dyDescent="0.2">
      <c r="A316" s="116" t="str">
        <f>IF(ISBLANK(B316),"",IF($A$2=1,B316,IF($A$2=2,C316,IF($A$2=3,#REF!,""))))</f>
        <v/>
      </c>
      <c r="B316" s="118"/>
    </row>
    <row r="317" spans="1:3" x14ac:dyDescent="0.2">
      <c r="A317" s="116" t="str">
        <f>IF(ISBLANK(B317),"",IF($A$2=1,B317,IF($A$2=2,C317,IF($A$2=3,#REF!,""))))</f>
        <v/>
      </c>
      <c r="B317" s="118"/>
    </row>
    <row r="318" spans="1:3" x14ac:dyDescent="0.2">
      <c r="A318" s="116" t="str">
        <f>IF(ISBLANK(B318),"",IF($A$2=1,B318,IF($A$2=2,C318,IF($A$2=3,#REF!,""))))</f>
        <v/>
      </c>
      <c r="B318" s="118"/>
    </row>
    <row r="319" spans="1:3" x14ac:dyDescent="0.2">
      <c r="A319" s="116" t="str">
        <f>IF(ISBLANK(B319),"",IF($A$2=1,B319,IF($A$2=2,C319,IF($A$2=3,#REF!,""))))</f>
        <v/>
      </c>
      <c r="B319" s="118"/>
    </row>
    <row r="320" spans="1:3" s="113" customFormat="1" x14ac:dyDescent="0.2">
      <c r="A320" s="116" t="str">
        <f>IF(ISBLANK(B320),"",IF($A$2=1,B320,IF($A$2=2,C320,IF($A$2=3,#REF!,""))))</f>
        <v/>
      </c>
      <c r="B320" s="118"/>
      <c r="C320" s="110"/>
    </row>
    <row r="321" spans="1:3" x14ac:dyDescent="0.2">
      <c r="A321" s="116" t="str">
        <f>IF(ISBLANK(B321),"",IF($A$2=1,B321,IF($A$2=2,C321,IF($A$2=3,#REF!,""))))</f>
        <v/>
      </c>
      <c r="B321" s="118"/>
    </row>
    <row r="322" spans="1:3" x14ac:dyDescent="0.2">
      <c r="A322" s="116" t="str">
        <f>IF(ISBLANK(B322),"",IF($A$2=1,B322,IF($A$2=2,C322,IF($A$2=3,#REF!,""))))</f>
        <v/>
      </c>
      <c r="B322" s="118"/>
    </row>
    <row r="323" spans="1:3" x14ac:dyDescent="0.2">
      <c r="A323" s="116" t="str">
        <f>IF(ISBLANK(B323),"",IF($A$2=1,B323,IF($A$2=2,C323,IF($A$2=3,#REF!,""))))</f>
        <v/>
      </c>
      <c r="B323" s="118"/>
    </row>
    <row r="324" spans="1:3" x14ac:dyDescent="0.2">
      <c r="A324" s="116" t="str">
        <f>IF(ISBLANK(B324),"",IF($A$2=1,B324,IF($A$2=2,C324,IF($A$2=3,#REF!,""))))</f>
        <v/>
      </c>
      <c r="B324" s="118"/>
    </row>
    <row r="325" spans="1:3" x14ac:dyDescent="0.2">
      <c r="A325" s="116" t="str">
        <f>IF(ISBLANK(B325),"",IF($A$2=1,B325,IF($A$2=2,C325,IF($A$2=3,#REF!,""))))</f>
        <v/>
      </c>
      <c r="B325" s="118"/>
    </row>
    <row r="326" spans="1:3" x14ac:dyDescent="0.2">
      <c r="A326" s="116" t="str">
        <f>IF(ISBLANK(B326),"",IF($A$2=1,B326,IF($A$2=2,C326,IF($A$2=3,#REF!,""))))</f>
        <v/>
      </c>
      <c r="B326" s="118"/>
      <c r="C326" s="113"/>
    </row>
    <row r="327" spans="1:3" x14ac:dyDescent="0.2">
      <c r="A327" s="116" t="str">
        <f>IF(ISBLANK(B327),"",IF($A$2=1,B327,IF($A$2=2,C327,IF($A$2=3,#REF!,""))))</f>
        <v/>
      </c>
      <c r="B327" s="118"/>
    </row>
    <row r="328" spans="1:3" x14ac:dyDescent="0.2">
      <c r="A328" s="116" t="str">
        <f>IF(ISBLANK(B328),"",IF($A$2=1,B328,IF($A$2=2,C328,IF($A$2=3,#REF!,""))))</f>
        <v/>
      </c>
      <c r="B328" s="118"/>
    </row>
    <row r="329" spans="1:3" x14ac:dyDescent="0.2">
      <c r="A329" s="116" t="str">
        <f>IF(ISBLANK(B329),"",IF($A$2=1,B329,IF($A$2=2,C329,IF($A$2=3,#REF!,""))))</f>
        <v/>
      </c>
      <c r="B329" s="118"/>
    </row>
    <row r="330" spans="1:3" ht="12.75" customHeight="1" x14ac:dyDescent="0.2">
      <c r="A330" s="116" t="str">
        <f>IF(ISBLANK(B330),"",IF($A$2=1,B330,IF($A$2=2,C330,IF($A$2=3,#REF!,""))))</f>
        <v/>
      </c>
      <c r="B330" s="118"/>
    </row>
    <row r="331" spans="1:3" ht="12.75" customHeight="1" x14ac:dyDescent="0.2">
      <c r="A331" s="116" t="str">
        <f>IF(ISBLANK(B331),"",IF($A$2=1,B331,IF($A$2=2,C331,IF($A$2=3,#REF!,""))))</f>
        <v/>
      </c>
      <c r="B331" s="118"/>
    </row>
    <row r="332" spans="1:3" x14ac:dyDescent="0.2">
      <c r="A332" s="116" t="str">
        <f>IF(ISBLANK(B332),"",IF($A$2=1,B332,IF($A$2=2,C332,IF($A$2=3,#REF!,""))))</f>
        <v/>
      </c>
      <c r="B332" s="118"/>
    </row>
    <row r="333" spans="1:3" x14ac:dyDescent="0.2">
      <c r="A333" s="116" t="str">
        <f>IF(ISBLANK(B333),"",IF($A$2=1,B333,IF($A$2=2,C333,IF($A$2=3,#REF!,""))))</f>
        <v/>
      </c>
      <c r="B333" s="118"/>
    </row>
    <row r="334" spans="1:3" x14ac:dyDescent="0.2">
      <c r="A334" s="116" t="str">
        <f>IF(ISBLANK(B334),"",IF($A$2=1,B334,IF($A$2=2,C334,IF($A$2=3,#REF!,""))))</f>
        <v/>
      </c>
      <c r="B334" s="118"/>
    </row>
    <row r="335" spans="1:3" x14ac:dyDescent="0.2">
      <c r="A335" s="116" t="str">
        <f>IF(ISBLANK(B335),"",IF($A$2=1,B335,IF($A$2=2,C335,IF($A$2=3,#REF!,""))))</f>
        <v/>
      </c>
      <c r="B335" s="118"/>
    </row>
    <row r="336" spans="1:3" x14ac:dyDescent="0.2">
      <c r="A336" s="116" t="str">
        <f>IF(ISBLANK(B336),"",IF($A$2=1,B336,IF($A$2=2,C336,IF($A$2=3,#REF!,""))))</f>
        <v/>
      </c>
      <c r="B336" s="118"/>
    </row>
    <row r="337" spans="1:3" x14ac:dyDescent="0.2">
      <c r="A337" s="116" t="str">
        <f>IF(ISBLANK(B337),"",IF($A$2=1,B337,IF($A$2=2,C337,IF($A$2=3,#REF!,""))))</f>
        <v/>
      </c>
      <c r="B337" s="118"/>
    </row>
    <row r="338" spans="1:3" x14ac:dyDescent="0.2">
      <c r="A338" s="116" t="str">
        <f>IF(ISBLANK(B338),"",IF($A$2=1,B338,IF($A$2=2,C338,IF($A$2=3,#REF!,""))))</f>
        <v/>
      </c>
      <c r="B338" s="118"/>
    </row>
    <row r="339" spans="1:3" x14ac:dyDescent="0.2">
      <c r="A339" s="116" t="str">
        <f>IF(ISBLANK(B339),"",IF($A$2=1,B339,IF($A$2=2,C339,IF($A$2=3,#REF!,""))))</f>
        <v/>
      </c>
      <c r="B339" s="118"/>
    </row>
    <row r="340" spans="1:3" x14ac:dyDescent="0.2">
      <c r="A340" s="116" t="str">
        <f>IF(ISBLANK(B340),"",IF($A$2=1,B340,IF($A$2=2,C340,IF($A$2=3,#REF!,""))))</f>
        <v/>
      </c>
      <c r="B340" s="118"/>
    </row>
    <row r="341" spans="1:3" x14ac:dyDescent="0.2">
      <c r="A341" s="116" t="str">
        <f>IF(ISBLANK(B341),"",IF($A$2=1,B341,IF($A$2=2,C341,IF($A$2=3,#REF!,""))))</f>
        <v/>
      </c>
      <c r="B341" s="118"/>
    </row>
    <row r="342" spans="1:3" x14ac:dyDescent="0.2">
      <c r="A342" s="116" t="str">
        <f>IF(ISBLANK(B342),"",IF($A$2=1,B342,IF($A$2=2,C342,IF($A$2=3,#REF!,""))))</f>
        <v/>
      </c>
      <c r="B342" s="118"/>
    </row>
    <row r="343" spans="1:3" x14ac:dyDescent="0.2">
      <c r="A343" s="116" t="str">
        <f>IF(ISBLANK(B343),"",IF($A$2=1,B343,IF($A$2=2,C343,IF($A$2=3,#REF!,""))))</f>
        <v/>
      </c>
      <c r="B343" s="118"/>
    </row>
    <row r="344" spans="1:3" x14ac:dyDescent="0.2">
      <c r="A344" s="116" t="str">
        <f>IF(ISBLANK(B344),"",IF($A$2=1,B344,IF($A$2=2,C379,IF($A$2=3,#REF!,""))))</f>
        <v/>
      </c>
      <c r="B344" s="118"/>
      <c r="C344" s="113"/>
    </row>
    <row r="345" spans="1:3" x14ac:dyDescent="0.2">
      <c r="A345" s="116" t="str">
        <f>IF(ISBLANK(B345),"",IF($A$2=1,B345,IF($A$2=2,C380,IF($A$2=3,#REF!,""))))</f>
        <v/>
      </c>
      <c r="B345" s="118"/>
    </row>
    <row r="346" spans="1:3" x14ac:dyDescent="0.2">
      <c r="A346" s="116" t="str">
        <f>IF(ISBLANK(B346),"",IF($A$2=1,B346,IF($A$2=2,C381,IF($A$2=3,#REF!,""))))</f>
        <v/>
      </c>
      <c r="B346" s="118"/>
    </row>
    <row r="347" spans="1:3" x14ac:dyDescent="0.2">
      <c r="A347" s="116" t="str">
        <f>IF(ISBLANK(B347),"",IF($A$2=1,B347,IF($A$2=2,C382,IF($A$2=3,#REF!,""))))</f>
        <v/>
      </c>
      <c r="B347" s="118"/>
    </row>
    <row r="348" spans="1:3" x14ac:dyDescent="0.2">
      <c r="A348" s="116" t="str">
        <f>IF(ISBLANK(B348),"",IF($A$2=1,B348,IF($A$2=2,C383,IF($A$2=3,#REF!,""))))</f>
        <v/>
      </c>
      <c r="B348" s="118"/>
    </row>
    <row r="349" spans="1:3" x14ac:dyDescent="0.2">
      <c r="A349" s="116" t="str">
        <f>IF(ISBLANK(B349),"",IF($A$2=1,B349,IF($A$2=2,C384,IF($A$2=3,#REF!,""))))</f>
        <v/>
      </c>
      <c r="B349" s="118"/>
    </row>
    <row r="350" spans="1:3" x14ac:dyDescent="0.2">
      <c r="A350" s="116" t="str">
        <f>IF(ISBLANK(B350),"",IF($A$2=1,B350,IF($A$2=2,C385,IF($A$2=3,#REF!,""))))</f>
        <v/>
      </c>
      <c r="B350" s="118"/>
    </row>
    <row r="351" spans="1:3" x14ac:dyDescent="0.2">
      <c r="A351" s="116" t="str">
        <f>IF(ISBLANK(B351),"",IF($A$2=1,B351,IF($A$2=2,C386,IF($A$2=3,#REF!,""))))</f>
        <v/>
      </c>
      <c r="B351" s="118"/>
    </row>
    <row r="352" spans="1:3" x14ac:dyDescent="0.2">
      <c r="A352" s="116" t="str">
        <f>IF(ISBLANK(B352),"",IF($A$2=1,B352,IF($A$2=2,C387,IF($A$2=3,#REF!,""))))</f>
        <v/>
      </c>
      <c r="B352" s="118"/>
    </row>
    <row r="353" spans="1:3" s="113" customFormat="1" x14ac:dyDescent="0.2">
      <c r="A353" s="116" t="str">
        <f>IF(ISBLANK(B353),"",IF($A$2=1,B353,IF($A$2=2,C388,IF($A$2=3,#REF!,""))))</f>
        <v/>
      </c>
      <c r="B353" s="118"/>
      <c r="C353" s="110"/>
    </row>
    <row r="354" spans="1:3" x14ac:dyDescent="0.2">
      <c r="A354" s="116" t="str">
        <f>IF(ISBLANK(B354),"",IF($A$2=1,B354,IF($A$2=2,C389,IF($A$2=3,#REF!,""))))</f>
        <v/>
      </c>
      <c r="B354" s="118"/>
    </row>
    <row r="355" spans="1:3" x14ac:dyDescent="0.2">
      <c r="A355" s="116" t="str">
        <f>IF(ISBLANK(B355),"",IF($A$2=1,B355,IF($A$2=2,C390,IF($A$2=3,#REF!,""))))</f>
        <v/>
      </c>
      <c r="B355" s="118"/>
    </row>
    <row r="356" spans="1:3" x14ac:dyDescent="0.2">
      <c r="A356" s="116" t="str">
        <f>IF(ISBLANK(B356),"",IF($A$2=1,B356,IF($A$2=2,C391,IF($A$2=3,#REF!,""))))</f>
        <v/>
      </c>
      <c r="B356" s="118"/>
    </row>
    <row r="357" spans="1:3" x14ac:dyDescent="0.2">
      <c r="A357" s="116" t="str">
        <f>IF(ISBLANK(B357),"",IF($A$2=1,B357,IF($A$2=2,C392,IF($A$2=3,#REF!,""))))</f>
        <v/>
      </c>
      <c r="B357" s="118"/>
    </row>
    <row r="358" spans="1:3" x14ac:dyDescent="0.2">
      <c r="A358" s="116" t="str">
        <f>IF(ISBLANK(B358),"",IF($A$2=1,B358,IF($A$2=2,C393,IF($A$2=3,#REF!,""))))</f>
        <v/>
      </c>
      <c r="B358" s="118"/>
    </row>
    <row r="359" spans="1:3" x14ac:dyDescent="0.2">
      <c r="A359" s="116" t="str">
        <f>IF(ISBLANK(B359),"",IF($A$2=1,B359,IF($A$2=2,C394,IF($A$2=3,#REF!,""))))</f>
        <v/>
      </c>
      <c r="B359" s="118"/>
    </row>
    <row r="360" spans="1:3" x14ac:dyDescent="0.2">
      <c r="A360" s="116" t="str">
        <f>IF(ISBLANK(B360),"",IF($A$2=1,B360,IF($A$2=2,C395,IF($A$2=3,#REF!,""))))</f>
        <v/>
      </c>
      <c r="B360" s="118"/>
    </row>
    <row r="361" spans="1:3" x14ac:dyDescent="0.2">
      <c r="A361" s="116" t="str">
        <f>IF(ISBLANK(B361),"",IF($A$2=1,B361,IF($A$2=2,C396,IF($A$2=3,#REF!,""))))</f>
        <v/>
      </c>
      <c r="B361" s="118"/>
    </row>
    <row r="362" spans="1:3" x14ac:dyDescent="0.2">
      <c r="A362" s="116" t="str">
        <f>IF(ISBLANK(B362),"",IF($A$2=1,B362,IF($A$2=2,C397,IF($A$2=3,#REF!,""))))</f>
        <v/>
      </c>
      <c r="B362" s="118"/>
    </row>
    <row r="363" spans="1:3" x14ac:dyDescent="0.2">
      <c r="A363" s="116" t="str">
        <f>IF(ISBLANK(B363),"",IF($A$2=1,B363,IF($A$2=2,C398,IF($A$2=3,#REF!,""))))</f>
        <v/>
      </c>
      <c r="B363" s="36"/>
    </row>
    <row r="364" spans="1:3" x14ac:dyDescent="0.2">
      <c r="A364" s="116" t="str">
        <f>IF(ISBLANK(B364),"",IF($A$2=1,B364,IF($A$2=2,C399,IF($A$2=3,#REF!,""))))</f>
        <v/>
      </c>
      <c r="B364" s="118"/>
    </row>
    <row r="365" spans="1:3" x14ac:dyDescent="0.2">
      <c r="A365" s="116" t="str">
        <f>IF(ISBLANK(B365),"",IF($A$2=1,B365,IF($A$2=2,C400,IF($A$2=3,#REF!,""))))</f>
        <v/>
      </c>
      <c r="B365" s="118"/>
    </row>
    <row r="366" spans="1:3" x14ac:dyDescent="0.2">
      <c r="A366" s="116" t="str">
        <f>IF(ISBLANK(B366),"",IF($A$2=1,B366,IF($A$2=2,C401,IF($A$2=3,#REF!,""))))</f>
        <v/>
      </c>
      <c r="B366" s="133"/>
    </row>
    <row r="367" spans="1:3" x14ac:dyDescent="0.2">
      <c r="A367" s="116" t="str">
        <f>IF(ISBLANK(B367),"",IF($A$2=1,B367,IF($A$2=2,C402,IF($A$2=3,#REF!,""))))</f>
        <v/>
      </c>
      <c r="B367" s="118"/>
    </row>
    <row r="368" spans="1:3" x14ac:dyDescent="0.2">
      <c r="A368" s="116" t="str">
        <f>IF(ISBLANK(B368),"",IF($A$2=1,B368,IF($A$2=2,C403,IF($A$2=3,#REF!,""))))</f>
        <v/>
      </c>
      <c r="B368" s="118"/>
    </row>
    <row r="369" spans="1:3" x14ac:dyDescent="0.2">
      <c r="A369" s="116" t="str">
        <f>IF(ISBLANK(B369),"",IF($A$2=1,B369,IF($A$2=2,C404,IF($A$2=3,#REF!,""))))</f>
        <v/>
      </c>
      <c r="B369" s="118"/>
      <c r="C369" s="134"/>
    </row>
    <row r="370" spans="1:3" x14ac:dyDescent="0.2">
      <c r="A370" s="116" t="str">
        <f>IF(ISBLANK(B370),"",IF($A$2=1,B370,IF($A$2=2,C405,IF($A$2=3,#REF!,""))))</f>
        <v/>
      </c>
      <c r="B370" s="118"/>
    </row>
    <row r="371" spans="1:3" s="113" customFormat="1" x14ac:dyDescent="0.2">
      <c r="A371" s="116" t="str">
        <f>IF(ISBLANK(B371),"",IF($A$2=1,B371,IF($A$2=2,C406,IF($A$2=3,#REF!,""))))</f>
        <v/>
      </c>
      <c r="B371" s="118"/>
      <c r="C371" s="110"/>
    </row>
    <row r="372" spans="1:3" x14ac:dyDescent="0.2">
      <c r="A372" s="116" t="str">
        <f>IF(ISBLANK(B372),"",IF($A$2=1,B372,IF($A$2=2,C407,IF($A$2=3,#REF!,""))))</f>
        <v/>
      </c>
      <c r="B372" s="118"/>
    </row>
    <row r="373" spans="1:3" x14ac:dyDescent="0.2">
      <c r="A373" s="116" t="str">
        <f>IF(ISBLANK(B373),"",IF($A$2=1,B373,IF($A$2=2,C408,IF($A$2=3,#REF!,""))))</f>
        <v/>
      </c>
      <c r="B373" s="118"/>
    </row>
    <row r="374" spans="1:3" x14ac:dyDescent="0.2">
      <c r="A374" s="116" t="str">
        <f>IF(ISBLANK(B374),"",IF($A$2=1,B374,IF($A$2=2,C409,IF($A$2=3,#REF!,""))))</f>
        <v/>
      </c>
      <c r="B374" s="118"/>
    </row>
    <row r="375" spans="1:3" x14ac:dyDescent="0.2">
      <c r="A375" s="116" t="str">
        <f>IF(ISBLANK(B375),"",IF($A$2=1,B375,IF($A$2=2,C410,IF($A$2=3,#REF!,""))))</f>
        <v/>
      </c>
      <c r="B375" s="118"/>
    </row>
    <row r="376" spans="1:3" x14ac:dyDescent="0.2">
      <c r="A376" s="116" t="str">
        <f>IF(ISBLANK(B376),"",IF($A$2=1,B376,IF($A$2=2,C411,IF($A$2=3,#REF!,""))))</f>
        <v/>
      </c>
      <c r="B376" s="118"/>
    </row>
    <row r="377" spans="1:3" x14ac:dyDescent="0.2">
      <c r="A377" s="116" t="str">
        <f>IF(ISBLANK(B377),"",IF($A$2=1,B377,IF($A$2=2,C412,IF($A$2=3,#REF!,""))))</f>
        <v/>
      </c>
      <c r="B377" s="118"/>
    </row>
    <row r="378" spans="1:3" x14ac:dyDescent="0.2">
      <c r="A378" s="116" t="str">
        <f>IF(ISBLANK(B378),"",IF($A$2=1,B378,IF($A$2=2,C413,IF($A$2=3,#REF!,""))))</f>
        <v/>
      </c>
      <c r="B378" s="135"/>
    </row>
    <row r="379" spans="1:3" x14ac:dyDescent="0.2">
      <c r="A379" s="116" t="str">
        <f>IF(ISBLANK(B379),"",IF($A$2=1,B379,IF($A$2=2,C414,IF($A$2=3,#REF!,""))))</f>
        <v/>
      </c>
      <c r="B379" s="118"/>
    </row>
    <row r="380" spans="1:3" x14ac:dyDescent="0.2">
      <c r="A380" s="116" t="str">
        <f>IF(ISBLANK(B380),"",IF($A$2=1,B380,IF($A$2=2,C415,IF($A$2=3,#REF!,""))))</f>
        <v/>
      </c>
      <c r="B380" s="118"/>
    </row>
    <row r="381" spans="1:3" x14ac:dyDescent="0.2">
      <c r="A381" s="116" t="str">
        <f>IF(ISBLANK(B381),"",IF($A$2=1,B381,IF($A$2=2,C416,IF($A$2=3,#REF!,""))))</f>
        <v/>
      </c>
      <c r="B381" s="118"/>
    </row>
    <row r="382" spans="1:3" x14ac:dyDescent="0.2">
      <c r="A382" s="116" t="str">
        <f>IF(ISBLANK(B382),"",IF($A$2=1,B382,IF($A$2=2,C417,IF($A$2=3,#REF!,""))))</f>
        <v/>
      </c>
      <c r="B382" s="118"/>
    </row>
    <row r="383" spans="1:3" x14ac:dyDescent="0.2">
      <c r="A383" s="116" t="str">
        <f>IF(ISBLANK(B383),"",IF($A$2=1,B383,IF($A$2=2,C418,IF($A$2=3,#REF!,""))))</f>
        <v/>
      </c>
      <c r="B383" s="118"/>
    </row>
    <row r="384" spans="1:3" x14ac:dyDescent="0.2">
      <c r="A384" s="116" t="str">
        <f>IF(ISBLANK(B384),"",IF($A$2=1,B384,IF($A$2=2,C419,IF($A$2=3,#REF!,""))))</f>
        <v/>
      </c>
      <c r="B384" s="118"/>
    </row>
    <row r="385" spans="1:2" x14ac:dyDescent="0.2">
      <c r="A385" s="116" t="str">
        <f>IF(ISBLANK(B385),"",IF($A$2=1,B385,IF($A$2=2,C420,IF($A$2=3,#REF!,""))))</f>
        <v/>
      </c>
      <c r="B385" s="118"/>
    </row>
    <row r="386" spans="1:2" x14ac:dyDescent="0.2">
      <c r="A386" s="116" t="str">
        <f>IF(ISBLANK(B386),"",IF($A$2=1,B386,IF($A$2=2,C421,IF($A$2=3,#REF!,""))))</f>
        <v/>
      </c>
      <c r="B386" s="118"/>
    </row>
    <row r="387" spans="1:2" x14ac:dyDescent="0.2">
      <c r="A387" s="116" t="str">
        <f>IF(ISBLANK(B387),"",IF($A$2=1,B387,IF($A$2=2,C422,IF($A$2=3,#REF!,""))))</f>
        <v/>
      </c>
      <c r="B387" s="118"/>
    </row>
    <row r="388" spans="1:2" x14ac:dyDescent="0.2">
      <c r="A388" s="116" t="str">
        <f>IF(ISBLANK(B388),"",IF($A$2=1,B388,IF($A$2=2,C423,IF($A$2=3,#REF!,""))))</f>
        <v/>
      </c>
      <c r="B388" s="118"/>
    </row>
    <row r="389" spans="1:2" x14ac:dyDescent="0.2">
      <c r="A389" s="116" t="str">
        <f>IF(ISBLANK(B389),"",IF($A$2=1,B389,IF($A$2=2,C424,IF($A$2=3,#REF!,""))))</f>
        <v/>
      </c>
      <c r="B389" s="118"/>
    </row>
    <row r="390" spans="1:2" x14ac:dyDescent="0.2">
      <c r="A390" s="116" t="str">
        <f>IF(ISBLANK(B390),"",IF($A$2=1,B390,IF($A$2=2,C425,IF($A$2=3,#REF!,""))))</f>
        <v/>
      </c>
      <c r="B390" s="118"/>
    </row>
    <row r="391" spans="1:2" x14ac:dyDescent="0.2">
      <c r="A391" s="116" t="str">
        <f>IF(ISBLANK(B391),"",IF($A$2=1,B391,IF($A$2=2,C426,IF($A$2=3,#REF!,""))))</f>
        <v/>
      </c>
      <c r="B391" s="118"/>
    </row>
    <row r="392" spans="1:2" x14ac:dyDescent="0.2">
      <c r="A392" s="116" t="str">
        <f>IF(ISBLANK(B392),"",IF($A$2=1,B392,IF($A$2=2,C427,IF($A$2=3,#REF!,""))))</f>
        <v/>
      </c>
      <c r="B392" s="118"/>
    </row>
    <row r="393" spans="1:2" x14ac:dyDescent="0.2">
      <c r="A393" s="116" t="str">
        <f>IF(ISBLANK(B393),"",IF($A$2=1,B393,IF($A$2=2,C428,IF($A$2=3,#REF!,""))))</f>
        <v/>
      </c>
      <c r="B393" s="118"/>
    </row>
    <row r="394" spans="1:2" x14ac:dyDescent="0.2">
      <c r="A394" s="116" t="str">
        <f>IF(ISBLANK(B394),"",IF($A$2=1,B394,IF($A$2=2,C429,IF($A$2=3,#REF!,""))))</f>
        <v/>
      </c>
      <c r="B394" s="118"/>
    </row>
    <row r="395" spans="1:2" x14ac:dyDescent="0.2">
      <c r="A395" s="116" t="str">
        <f>IF(ISBLANK(B395),"",IF($A$2=1,B395,IF($A$2=2,C430,IF($A$2=3,#REF!,""))))</f>
        <v/>
      </c>
      <c r="B395" s="118"/>
    </row>
    <row r="396" spans="1:2" x14ac:dyDescent="0.2">
      <c r="A396" s="116" t="str">
        <f>IF(ISBLANK(B396),"",IF($A$2=1,B396,IF($A$2=2,C431,IF($A$2=3,#REF!,""))))</f>
        <v/>
      </c>
      <c r="B396" s="118"/>
    </row>
    <row r="397" spans="1:2" x14ac:dyDescent="0.2">
      <c r="A397" s="116" t="str">
        <f>IF(ISBLANK(B397),"",IF($A$2=1,B397,IF($A$2=2,C432,IF($A$2=3,#REF!,""))))</f>
        <v/>
      </c>
      <c r="B397" s="118"/>
    </row>
    <row r="398" spans="1:2" x14ac:dyDescent="0.2">
      <c r="A398" s="116" t="str">
        <f>IF(ISBLANK(B398),"",IF($A$2=1,B398,IF($A$2=2,C433,IF($A$2=3,#REF!,""))))</f>
        <v/>
      </c>
      <c r="B398" s="118"/>
    </row>
    <row r="399" spans="1:2" x14ac:dyDescent="0.2">
      <c r="A399" s="116" t="str">
        <f>IF(ISBLANK(B399),"",IF($A$2=1,B399,IF($A$2=2,C434,IF($A$2=3,#REF!,""))))</f>
        <v/>
      </c>
      <c r="B399" s="118"/>
    </row>
    <row r="400" spans="1:2" x14ac:dyDescent="0.2">
      <c r="A400" s="116" t="str">
        <f>IF(ISBLANK(B400),"",IF($A$2=1,B400,IF($A$2=2,C435,IF($A$2=3,#REF!,""))))</f>
        <v/>
      </c>
      <c r="B400" s="118"/>
    </row>
    <row r="401" spans="1:2" x14ac:dyDescent="0.2">
      <c r="A401" s="116" t="str">
        <f>IF(ISBLANK(B401),"",IF($A$2=1,B401,IF($A$2=2,C436,IF($A$2=3,#REF!,""))))</f>
        <v/>
      </c>
      <c r="B401" s="118"/>
    </row>
    <row r="402" spans="1:2" x14ac:dyDescent="0.2">
      <c r="A402" s="116" t="str">
        <f>IF(ISBLANK(B402),"",IF($A$2=1,B402,IF($A$2=2,C437,IF($A$2=3,#REF!,""))))</f>
        <v/>
      </c>
      <c r="B402" s="118"/>
    </row>
    <row r="403" spans="1:2" x14ac:dyDescent="0.2">
      <c r="A403" s="116" t="str">
        <f>IF(ISBLANK(B403),"",IF($A$2=1,B403,IF($A$2=2,C438,IF($A$2=3,#REF!,""))))</f>
        <v/>
      </c>
      <c r="B403" s="118"/>
    </row>
    <row r="404" spans="1:2" x14ac:dyDescent="0.2">
      <c r="A404" s="116" t="str">
        <f>IF(ISBLANK(B404),"",IF($A$2=1,B404,IF($A$2=2,C439,IF($A$2=3,#REF!,""))))</f>
        <v/>
      </c>
      <c r="B404" s="118"/>
    </row>
    <row r="405" spans="1:2" x14ac:dyDescent="0.2">
      <c r="A405" s="116" t="str">
        <f>IF(ISBLANK(B405),"",IF($A$2=1,B405,IF($A$2=2,C440,IF($A$2=3,#REF!,""))))</f>
        <v/>
      </c>
      <c r="B405" s="118"/>
    </row>
    <row r="406" spans="1:2" x14ac:dyDescent="0.2">
      <c r="A406" s="116" t="str">
        <f>IF(ISBLANK(B406),"",IF($A$2=1,B406,IF($A$2=2,C441,IF($A$2=3,#REF!,""))))</f>
        <v/>
      </c>
      <c r="B406" s="118"/>
    </row>
    <row r="407" spans="1:2" x14ac:dyDescent="0.2">
      <c r="A407" s="116" t="str">
        <f>IF(ISBLANK(B407),"",IF($A$2=1,B407,IF($A$2=2,C442,IF($A$2=3,#REF!,""))))</f>
        <v/>
      </c>
      <c r="B407" s="118"/>
    </row>
    <row r="408" spans="1:2" x14ac:dyDescent="0.2">
      <c r="A408" s="116" t="str">
        <f>IF(ISBLANK(B408),"",IF($A$2=1,B408,IF($A$2=2,C443,IF($A$2=3,#REF!,""))))</f>
        <v/>
      </c>
      <c r="B408" s="118"/>
    </row>
    <row r="409" spans="1:2" x14ac:dyDescent="0.2">
      <c r="A409" s="116" t="str">
        <f>IF(ISBLANK(B409),"",IF($A$2=1,B409,IF($A$2=2,C444,IF($A$2=3,#REF!,""))))</f>
        <v/>
      </c>
      <c r="B409" s="118"/>
    </row>
    <row r="410" spans="1:2" x14ac:dyDescent="0.2">
      <c r="A410" s="116" t="str">
        <f>IF(ISBLANK(B410),"",IF($A$2=1,B410,IF($A$2=2,C445,IF($A$2=3,#REF!,""))))</f>
        <v/>
      </c>
      <c r="B410" s="118"/>
    </row>
    <row r="411" spans="1:2" x14ac:dyDescent="0.2">
      <c r="A411" s="116" t="str">
        <f>IF(ISBLANK(B411),"",IF($A$2=1,B411,IF($A$2=2,C446,IF($A$2=3,#REF!,""))))</f>
        <v/>
      </c>
      <c r="B411" s="118"/>
    </row>
    <row r="412" spans="1:2" x14ac:dyDescent="0.2">
      <c r="A412" s="116" t="str">
        <f>IF(ISBLANK(B412),"",IF($A$2=1,B412,IF($A$2=2,C447,IF($A$2=3,#REF!,""))))</f>
        <v/>
      </c>
      <c r="B412" s="118"/>
    </row>
    <row r="413" spans="1:2" x14ac:dyDescent="0.2">
      <c r="A413" s="116" t="str">
        <f>IF(ISBLANK(B413),"",IF($A$2=1,B413,IF($A$2=2,C448,IF($A$2=3,#REF!,""))))</f>
        <v/>
      </c>
      <c r="B413" s="118"/>
    </row>
    <row r="414" spans="1:2" x14ac:dyDescent="0.2">
      <c r="A414" s="116" t="str">
        <f>IF(ISBLANK(B414),"",IF($A$2=1,B414,IF($A$2=2,C449,IF($A$2=3,#REF!,""))))</f>
        <v/>
      </c>
      <c r="B414" s="118"/>
    </row>
    <row r="415" spans="1:2" x14ac:dyDescent="0.2">
      <c r="A415" s="116" t="str">
        <f>IF(ISBLANK(B415),"",IF($A$2=1,B415,IF($A$2=2,C450,IF($A$2=3,#REF!,""))))</f>
        <v/>
      </c>
      <c r="B415" s="118"/>
    </row>
    <row r="416" spans="1:2" x14ac:dyDescent="0.2">
      <c r="A416" s="116" t="str">
        <f>IF(ISBLANK(B416),"",IF($A$2=1,B416,IF($A$2=2,C451,IF($A$2=3,#REF!,""))))</f>
        <v/>
      </c>
      <c r="B416" s="118"/>
    </row>
    <row r="417" spans="1:2" x14ac:dyDescent="0.2">
      <c r="A417" s="116" t="str">
        <f>IF(ISBLANK(B417),"",IF($A$2=1,B417,IF($A$2=2,C452,IF($A$2=3,#REF!,""))))</f>
        <v/>
      </c>
      <c r="B417" s="118"/>
    </row>
    <row r="418" spans="1:2" x14ac:dyDescent="0.2">
      <c r="A418" s="116" t="str">
        <f>IF(ISBLANK(B418),"",IF($A$2=1,B418,IF($A$2=2,C453,IF($A$2=3,#REF!,""))))</f>
        <v/>
      </c>
      <c r="B418" s="118"/>
    </row>
    <row r="419" spans="1:2" x14ac:dyDescent="0.2">
      <c r="A419" s="116" t="str">
        <f>IF(ISBLANK(B419),"",IF($A$2=1,B419,IF($A$2=2,C454,IF($A$2=3,#REF!,""))))</f>
        <v/>
      </c>
      <c r="B419" s="118"/>
    </row>
    <row r="420" spans="1:2" x14ac:dyDescent="0.2">
      <c r="A420" s="116" t="str">
        <f>IF(ISBLANK(B420),"",IF($A$2=1,B420,IF($A$2=2,C455,IF($A$2=3,#REF!,""))))</f>
        <v/>
      </c>
      <c r="B420" s="118"/>
    </row>
    <row r="421" spans="1:2" x14ac:dyDescent="0.2">
      <c r="A421" s="116" t="str">
        <f>IF(ISBLANK(B421),"",IF($A$2=1,B421,IF($A$2=2,C456,IF($A$2=3,#REF!,""))))</f>
        <v/>
      </c>
      <c r="B421" s="118"/>
    </row>
    <row r="422" spans="1:2" x14ac:dyDescent="0.2">
      <c r="A422" s="116" t="str">
        <f>IF(ISBLANK(B422),"",IF($A$2=1,B422,IF($A$2=2,C457,IF($A$2=3,#REF!,""))))</f>
        <v/>
      </c>
      <c r="B422" s="118"/>
    </row>
    <row r="423" spans="1:2" x14ac:dyDescent="0.2">
      <c r="A423" s="116" t="str">
        <f>IF(ISBLANK(B423),"",IF($A$2=1,B423,IF($A$2=2,C458,IF($A$2=3,#REF!,""))))</f>
        <v/>
      </c>
      <c r="B423" s="118"/>
    </row>
  </sheetData>
  <pageMargins left="0.78740157499999996" right="0.78740157499999996" top="0.984251969" bottom="0.984251969" header="0.4921259845" footer="0.4921259845"/>
  <pageSetup paperSize="9" orientation="portrait" r:id="rId1"/>
  <headerFooter alignWithMargins="0">
    <oddFooter>&amp;R&amp;"Arial,Standard"&amp;9Seite &amp;P&amp;L&amp;"Arial,Fett"&amp;11AGRIDEA &amp;"Arial,Standard"&amp;9 Nachweis Version 8.8</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6"/>
  <sheetViews>
    <sheetView topLeftCell="A10" zoomScaleNormal="100" workbookViewId="0">
      <selection activeCell="D70" sqref="D70"/>
    </sheetView>
  </sheetViews>
  <sheetFormatPr baseColWidth="10" defaultColWidth="11.42578125" defaultRowHeight="11.25" x14ac:dyDescent="0.15"/>
  <cols>
    <col min="1" max="16384" width="11.42578125" style="7"/>
  </cols>
  <sheetData>
    <row r="1" spans="1:7" x14ac:dyDescent="0.15">
      <c r="A1" s="1" t="s">
        <v>524</v>
      </c>
    </row>
    <row r="2" spans="1:7" x14ac:dyDescent="0.15">
      <c r="A2" s="1" t="s">
        <v>553</v>
      </c>
    </row>
    <row r="3" spans="1:7" x14ac:dyDescent="0.15">
      <c r="A3" s="2" t="s">
        <v>547</v>
      </c>
      <c r="B3" s="8"/>
    </row>
    <row r="4" spans="1:7" x14ac:dyDescent="0.15">
      <c r="A4" s="2" t="s">
        <v>548</v>
      </c>
      <c r="B4" s="8"/>
    </row>
    <row r="5" spans="1:7" x14ac:dyDescent="0.15">
      <c r="A5" s="2" t="s">
        <v>549</v>
      </c>
    </row>
    <row r="6" spans="1:7" x14ac:dyDescent="0.15">
      <c r="A6" s="2" t="s">
        <v>538</v>
      </c>
    </row>
    <row r="7" spans="1:7" x14ac:dyDescent="0.15">
      <c r="A7" s="2" t="s">
        <v>542</v>
      </c>
      <c r="D7" s="8"/>
      <c r="E7" s="8"/>
      <c r="F7" s="8"/>
      <c r="G7" s="8"/>
    </row>
    <row r="8" spans="1:7" x14ac:dyDescent="0.15">
      <c r="A8" s="7" t="s">
        <v>541</v>
      </c>
    </row>
    <row r="9" spans="1:7" x14ac:dyDescent="0.15">
      <c r="A9" s="7" t="s">
        <v>540</v>
      </c>
      <c r="B9" s="8"/>
    </row>
    <row r="10" spans="1:7" x14ac:dyDescent="0.15">
      <c r="B10" s="8"/>
    </row>
    <row r="11" spans="1:7" x14ac:dyDescent="0.15">
      <c r="A11" s="1" t="s">
        <v>764</v>
      </c>
      <c r="B11" s="8"/>
    </row>
    <row r="12" spans="1:7" x14ac:dyDescent="0.15">
      <c r="A12" s="3" t="s">
        <v>766</v>
      </c>
    </row>
    <row r="13" spans="1:7" x14ac:dyDescent="0.15">
      <c r="A13" s="249" t="s">
        <v>765</v>
      </c>
    </row>
    <row r="14" spans="1:7" x14ac:dyDescent="0.15">
      <c r="A14" s="2" t="s">
        <v>768</v>
      </c>
    </row>
    <row r="15" spans="1:7" x14ac:dyDescent="0.15">
      <c r="A15" s="3" t="s">
        <v>769</v>
      </c>
    </row>
    <row r="16" spans="1:7" x14ac:dyDescent="0.15">
      <c r="A16" s="3" t="s">
        <v>767</v>
      </c>
    </row>
    <row r="18" spans="1:2" x14ac:dyDescent="0.15">
      <c r="A18" s="1" t="s">
        <v>771</v>
      </c>
    </row>
    <row r="19" spans="1:2" x14ac:dyDescent="0.15">
      <c r="A19" s="2" t="s">
        <v>772</v>
      </c>
      <c r="B19" s="8"/>
    </row>
    <row r="20" spans="1:2" x14ac:dyDescent="0.15">
      <c r="A20" s="2" t="s">
        <v>773</v>
      </c>
      <c r="B20" s="8"/>
    </row>
    <row r="21" spans="1:2" x14ac:dyDescent="0.15">
      <c r="A21" s="2" t="s">
        <v>778</v>
      </c>
      <c r="B21" s="8"/>
    </row>
    <row r="22" spans="1:2" x14ac:dyDescent="0.15">
      <c r="A22" s="2" t="s">
        <v>774</v>
      </c>
      <c r="B22" s="9"/>
    </row>
    <row r="23" spans="1:2" x14ac:dyDescent="0.15">
      <c r="A23" s="2" t="s">
        <v>777</v>
      </c>
      <c r="B23" s="9"/>
    </row>
    <row r="24" spans="1:2" x14ac:dyDescent="0.15">
      <c r="A24" s="3" t="s">
        <v>776</v>
      </c>
      <c r="B24" s="9"/>
    </row>
    <row r="25" spans="1:2" x14ac:dyDescent="0.15">
      <c r="A25" s="2" t="s">
        <v>775</v>
      </c>
      <c r="B25" s="9"/>
    </row>
    <row r="26" spans="1:2" x14ac:dyDescent="0.15">
      <c r="B26" s="9"/>
    </row>
    <row r="27" spans="1:2" x14ac:dyDescent="0.15">
      <c r="A27" s="3" t="s">
        <v>770</v>
      </c>
    </row>
    <row r="29" spans="1:2" x14ac:dyDescent="0.15">
      <c r="A29" s="1" t="s">
        <v>552</v>
      </c>
    </row>
    <row r="30" spans="1:2" x14ac:dyDescent="0.15">
      <c r="A30" s="2" t="s">
        <v>631</v>
      </c>
    </row>
    <row r="31" spans="1:2" x14ac:dyDescent="0.15">
      <c r="A31" s="2"/>
    </row>
    <row r="32" spans="1:2" x14ac:dyDescent="0.15">
      <c r="A32" s="2" t="s">
        <v>632</v>
      </c>
    </row>
    <row r="33" spans="1:5" x14ac:dyDescent="0.15">
      <c r="A33" s="2" t="s">
        <v>9</v>
      </c>
      <c r="B33" s="2" t="s">
        <v>643</v>
      </c>
    </row>
    <row r="34" spans="1:5" x14ac:dyDescent="0.15">
      <c r="A34" s="3" t="s">
        <v>633</v>
      </c>
      <c r="B34" s="2" t="s">
        <v>644</v>
      </c>
    </row>
    <row r="35" spans="1:5" x14ac:dyDescent="0.15">
      <c r="A35" s="3" t="s">
        <v>26</v>
      </c>
      <c r="B35" s="2" t="s">
        <v>645</v>
      </c>
    </row>
    <row r="36" spans="1:5" x14ac:dyDescent="0.15">
      <c r="A36" s="3" t="s">
        <v>634</v>
      </c>
      <c r="B36" s="2" t="s">
        <v>646</v>
      </c>
    </row>
    <row r="37" spans="1:5" x14ac:dyDescent="0.15">
      <c r="A37" s="3" t="s">
        <v>635</v>
      </c>
      <c r="B37" s="3" t="s">
        <v>647</v>
      </c>
    </row>
    <row r="38" spans="1:5" x14ac:dyDescent="0.15">
      <c r="A38" s="3" t="s">
        <v>636</v>
      </c>
      <c r="B38" s="3" t="s">
        <v>648</v>
      </c>
    </row>
    <row r="39" spans="1:5" x14ac:dyDescent="0.15">
      <c r="A39" s="3" t="s">
        <v>14</v>
      </c>
      <c r="B39" s="3" t="s">
        <v>649</v>
      </c>
    </row>
    <row r="40" spans="1:5" x14ac:dyDescent="0.15">
      <c r="A40" s="3" t="s">
        <v>15</v>
      </c>
      <c r="B40" s="3" t="s">
        <v>650</v>
      </c>
    </row>
    <row r="42" spans="1:5" x14ac:dyDescent="0.15">
      <c r="A42" s="3" t="s">
        <v>637</v>
      </c>
    </row>
    <row r="44" spans="1:5" x14ac:dyDescent="0.15">
      <c r="A44" s="7" t="s">
        <v>197</v>
      </c>
      <c r="E44" s="2" t="s">
        <v>652</v>
      </c>
    </row>
    <row r="45" spans="1:5" x14ac:dyDescent="0.15">
      <c r="A45" s="7" t="s">
        <v>11</v>
      </c>
      <c r="B45" s="7" t="s">
        <v>148</v>
      </c>
      <c r="E45" s="241" t="s">
        <v>653</v>
      </c>
    </row>
    <row r="46" spans="1:5" x14ac:dyDescent="0.15">
      <c r="A46" s="7" t="s">
        <v>638</v>
      </c>
      <c r="B46" s="7" t="s">
        <v>149</v>
      </c>
      <c r="E46" s="241" t="s">
        <v>651</v>
      </c>
    </row>
    <row r="47" spans="1:5" x14ac:dyDescent="0.15">
      <c r="A47" s="7" t="s">
        <v>636</v>
      </c>
      <c r="B47" s="7" t="s">
        <v>44</v>
      </c>
      <c r="E47" s="241" t="s">
        <v>654</v>
      </c>
    </row>
    <row r="48" spans="1:5" x14ac:dyDescent="0.15">
      <c r="A48" s="7" t="s">
        <v>592</v>
      </c>
      <c r="B48" s="7" t="s">
        <v>76</v>
      </c>
    </row>
    <row r="51" spans="1:1" x14ac:dyDescent="0.15">
      <c r="A51" s="3" t="s">
        <v>639</v>
      </c>
    </row>
    <row r="52" spans="1:1" x14ac:dyDescent="0.15">
      <c r="A52" s="3" t="s">
        <v>640</v>
      </c>
    </row>
    <row r="53" spans="1:1" x14ac:dyDescent="0.15">
      <c r="A53" s="3" t="s">
        <v>641</v>
      </c>
    </row>
    <row r="55" spans="1:1" x14ac:dyDescent="0.15">
      <c r="A55" s="3" t="s">
        <v>642</v>
      </c>
    </row>
    <row r="56" spans="1:1" x14ac:dyDescent="0.15">
      <c r="A56" s="2" t="s">
        <v>657</v>
      </c>
    </row>
  </sheetData>
  <hyperlinks>
    <hyperlink ref="A13" r:id="rId1"/>
  </hyperlinks>
  <printOptions gridLines="1"/>
  <pageMargins left="1.1811023622047245" right="0.78740157480314965" top="1.5748031496062993" bottom="0.78740157480314965" header="0.51181102362204722" footer="0.51181102362204722"/>
  <pageSetup paperSize="9" orientation="portrait" r:id="rId2"/>
  <headerFooter alignWithMargins="0">
    <oddHeader>&amp;L&amp;G</oddHeader>
    <oddFooter>&amp;L&amp;8&amp;D / &amp;F /&amp;R&amp;8&amp;P/&amp;N</oddFoot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AI188"/>
  <sheetViews>
    <sheetView zoomScale="120" zoomScaleNormal="120" workbookViewId="0">
      <pane xSplit="4" ySplit="4" topLeftCell="E71" activePane="bottomRight" state="frozen"/>
      <selection activeCell="D70" sqref="D70"/>
      <selection pane="topRight" activeCell="D70" sqref="D70"/>
      <selection pane="bottomLeft" activeCell="D70" sqref="D70"/>
      <selection pane="bottomRight" activeCell="D70" sqref="D70"/>
    </sheetView>
  </sheetViews>
  <sheetFormatPr baseColWidth="10" defaultColWidth="11.42578125" defaultRowHeight="11.25" customHeight="1" x14ac:dyDescent="0.15"/>
  <cols>
    <col min="1" max="2" width="11.42578125" style="2" customWidth="1"/>
    <col min="3" max="16384" width="11.42578125" style="2"/>
  </cols>
  <sheetData>
    <row r="1" spans="1:30" ht="11.25" customHeight="1" x14ac:dyDescent="0.15">
      <c r="C1" s="2">
        <v>1</v>
      </c>
      <c r="D1" s="2">
        <v>2</v>
      </c>
      <c r="E1" s="2">
        <v>3</v>
      </c>
      <c r="F1" s="2">
        <v>4</v>
      </c>
      <c r="G1" s="2">
        <v>5</v>
      </c>
      <c r="H1" s="2">
        <v>6</v>
      </c>
      <c r="I1" s="2">
        <v>7</v>
      </c>
      <c r="J1" s="2">
        <v>8</v>
      </c>
      <c r="K1" s="2">
        <v>9</v>
      </c>
      <c r="L1" s="2">
        <v>10</v>
      </c>
      <c r="M1" s="2">
        <v>11</v>
      </c>
      <c r="N1" s="2">
        <v>12</v>
      </c>
      <c r="O1" s="2">
        <v>13</v>
      </c>
      <c r="P1" s="2">
        <v>14</v>
      </c>
      <c r="Q1" s="2">
        <v>15</v>
      </c>
      <c r="R1" s="2">
        <v>16</v>
      </c>
      <c r="S1" s="2">
        <v>17</v>
      </c>
      <c r="T1" s="2">
        <v>18</v>
      </c>
      <c r="U1" s="2">
        <v>19</v>
      </c>
      <c r="V1" s="2">
        <v>20</v>
      </c>
      <c r="W1" s="2">
        <v>21</v>
      </c>
      <c r="X1" s="3">
        <v>22</v>
      </c>
      <c r="Y1" s="3">
        <v>23</v>
      </c>
      <c r="Z1" s="3">
        <v>24</v>
      </c>
    </row>
    <row r="2" spans="1:30" ht="11.25" customHeight="1" x14ac:dyDescent="0.15">
      <c r="A2" s="1" t="s">
        <v>20</v>
      </c>
      <c r="C2" s="2" t="s">
        <v>18</v>
      </c>
      <c r="E2" s="2" t="str">
        <f>C42</f>
        <v>Kühe/Rindviehaufzucht</v>
      </c>
      <c r="I2" s="2" t="str">
        <f>C60</f>
        <v>Kälber</v>
      </c>
      <c r="J2" s="2" t="str">
        <f>C61</f>
        <v>Rindviehmast</v>
      </c>
      <c r="L2" s="2" t="str">
        <f>C45</f>
        <v>Pferde</v>
      </c>
      <c r="N2" s="2" t="str">
        <f>C46</f>
        <v>Schafe/Ziegen</v>
      </c>
      <c r="O2" s="2" t="str">
        <f>C47</f>
        <v>Schweine</v>
      </c>
      <c r="R2" s="2" t="str">
        <f>C48</f>
        <v>Geflügel</v>
      </c>
      <c r="V2" s="3" t="str">
        <f>C49</f>
        <v>Biogasanlage</v>
      </c>
    </row>
    <row r="3" spans="1:30" ht="11.25" customHeight="1" x14ac:dyDescent="0.15">
      <c r="C3" s="2" t="s">
        <v>19</v>
      </c>
      <c r="E3" s="2" t="str">
        <f>D42</f>
        <v>Vollgülle</v>
      </c>
      <c r="F3" s="2" t="str">
        <f>E42</f>
        <v>Gülle Kotarm</v>
      </c>
      <c r="G3" s="2" t="str">
        <f>F42</f>
        <v>Stapelmist</v>
      </c>
      <c r="H3" s="2" t="str">
        <f>G42</f>
        <v>Laufstallmist</v>
      </c>
      <c r="I3" s="2" t="str">
        <f>E60</f>
        <v>Kälbermist</v>
      </c>
      <c r="J3" s="2" t="str">
        <f>D43</f>
        <v>Vollgülle</v>
      </c>
      <c r="K3" s="2" t="str">
        <f>E43</f>
        <v>Laufstallmist</v>
      </c>
      <c r="L3" s="2" t="str">
        <f>D45</f>
        <v>Pferdemist Frisch</v>
      </c>
      <c r="M3" s="2" t="str">
        <f>E45</f>
        <v>Pferdemist</v>
      </c>
      <c r="N3" s="2" t="str">
        <f>D46</f>
        <v>Schaf-/Ziegenmist</v>
      </c>
      <c r="O3" s="2" t="str">
        <f>D47</f>
        <v>Schweinegülle Mast</v>
      </c>
      <c r="P3" s="2" t="str">
        <f>E47</f>
        <v>Schweinegülle Zucht</v>
      </c>
      <c r="Q3" s="2" t="str">
        <f>F47</f>
        <v>Schweinemist</v>
      </c>
      <c r="R3" s="2" t="str">
        <f>D48</f>
        <v>Hennen (Kotband)</v>
      </c>
      <c r="S3" s="2" t="str">
        <f>E48</f>
        <v>Hennen/Junghennenmist</v>
      </c>
      <c r="T3" s="2" t="str">
        <f>F48</f>
        <v>Pouletmist</v>
      </c>
      <c r="U3" s="2" t="str">
        <f>G48</f>
        <v>Trutenmist</v>
      </c>
      <c r="V3" s="3" t="str">
        <f>D49</f>
        <v>Gärgülle</v>
      </c>
      <c r="W3" s="3" t="str">
        <f>E49</f>
        <v>Gärmist</v>
      </c>
      <c r="X3" s="2" t="s">
        <v>464</v>
      </c>
      <c r="Y3" s="2" t="s">
        <v>190</v>
      </c>
      <c r="Z3" s="2" t="s">
        <v>34</v>
      </c>
    </row>
    <row r="5" spans="1:30" ht="11.25" customHeight="1" x14ac:dyDescent="0.15">
      <c r="B5" s="2" t="s">
        <v>0</v>
      </c>
      <c r="C5" s="2" t="str">
        <f>Texte!$A$94</f>
        <v>TS</v>
      </c>
      <c r="E5" s="2">
        <v>90</v>
      </c>
      <c r="F5" s="2">
        <v>75</v>
      </c>
      <c r="G5" s="2">
        <v>190</v>
      </c>
      <c r="H5" s="2">
        <v>210</v>
      </c>
      <c r="I5" s="2">
        <v>200</v>
      </c>
      <c r="J5" s="2">
        <v>90</v>
      </c>
      <c r="K5" s="2">
        <v>210</v>
      </c>
      <c r="L5" s="2">
        <v>350</v>
      </c>
      <c r="M5" s="2">
        <v>350</v>
      </c>
      <c r="N5" s="2">
        <v>270</v>
      </c>
      <c r="O5" s="2">
        <v>50</v>
      </c>
      <c r="P5" s="2">
        <v>50</v>
      </c>
      <c r="Q5" s="2">
        <v>270</v>
      </c>
      <c r="R5" s="2">
        <v>350</v>
      </c>
      <c r="S5" s="2">
        <v>500</v>
      </c>
      <c r="T5" s="2">
        <v>650</v>
      </c>
      <c r="U5" s="2">
        <v>600</v>
      </c>
      <c r="V5" s="7">
        <v>45</v>
      </c>
      <c r="W5" s="3">
        <v>271</v>
      </c>
      <c r="X5" s="7">
        <v>490</v>
      </c>
      <c r="Y5" s="7">
        <v>130</v>
      </c>
      <c r="Z5" s="7">
        <v>510</v>
      </c>
      <c r="AA5" s="7"/>
      <c r="AB5" s="8"/>
      <c r="AC5" s="7"/>
      <c r="AD5" s="7"/>
    </row>
    <row r="6" spans="1:30" ht="11.25" customHeight="1" thickBot="1" x14ac:dyDescent="0.2">
      <c r="C6" s="2" t="s">
        <v>587</v>
      </c>
      <c r="E6" s="184">
        <f>VLOOKUP(VLOOKUP(E$1,$D$56:$K$77,8,0),Kompost!$B$101:$H$154,5,0)</f>
        <v>0</v>
      </c>
      <c r="F6" s="184">
        <f>VLOOKUP(VLOOKUP(F$1,$D$56:$K$77,8,0),Kompost!$B$101:$H$154,5,0)</f>
        <v>0</v>
      </c>
      <c r="G6" s="184">
        <f>VLOOKUP(VLOOKUP(G$1,$D$56:$K$77,8,0),Kompost!$B$101:$H$154,5,0)</f>
        <v>0</v>
      </c>
      <c r="H6" s="184">
        <f>VLOOKUP(VLOOKUP(H$1,$D$56:$K$77,8,0),Kompost!$B$101:$H$154,5,0)</f>
        <v>0</v>
      </c>
      <c r="I6" s="184">
        <f>VLOOKUP(VLOOKUP(I$1,$D$56:$K$77,8,0),Kompost!$B$101:$H$154,5,0)</f>
        <v>0</v>
      </c>
      <c r="J6" s="184">
        <f>VLOOKUP(VLOOKUP(J$1,$D$56:$K$77,8,0),Kompost!$B$101:$H$154,5,0)</f>
        <v>0</v>
      </c>
      <c r="K6" s="184">
        <f>VLOOKUP(VLOOKUP(K$1,$D$56:$K$77,8,0),Kompost!$B$101:$H$154,5,0)</f>
        <v>0</v>
      </c>
      <c r="L6" s="184">
        <f>VLOOKUP(VLOOKUP(L$1,$D$56:$K$77,8,0),Kompost!$B$101:$H$154,5,0)</f>
        <v>0</v>
      </c>
      <c r="M6" s="184">
        <f>VLOOKUP(VLOOKUP(M$1,$D$56:$K$77,8,0),Kompost!$B$101:$H$154,5,0)</f>
        <v>0</v>
      </c>
      <c r="N6" s="184">
        <f>VLOOKUP(VLOOKUP(N$1,$D$56:$K$77,8,0),Kompost!$B$101:$H$154,5,0)</f>
        <v>0</v>
      </c>
      <c r="O6" s="184">
        <f>VLOOKUP(VLOOKUP(O$1,$D$56:$K$77,8,0),Kompost!$B$101:$H$154,5,0)</f>
        <v>0</v>
      </c>
      <c r="P6" s="184">
        <f>VLOOKUP(VLOOKUP(P$1,$D$56:$K$77,8,0),Kompost!$B$101:$H$154,5,0)</f>
        <v>0</v>
      </c>
      <c r="Q6" s="184">
        <f>VLOOKUP(VLOOKUP(Q$1,$D$56:$K$77,8,0),Kompost!$B$101:$H$154,5,0)</f>
        <v>0</v>
      </c>
      <c r="R6" s="184">
        <f>VLOOKUP(VLOOKUP(R$1,$D$56:$K$77,8,0),Kompost!$B$101:$H$154,5,0)</f>
        <v>-5.0000000000000001E-3</v>
      </c>
      <c r="S6" s="184">
        <f>VLOOKUP(VLOOKUP(S$1,$D$56:$K$77,8,0),Kompost!$B$101:$H$154,5,0)</f>
        <v>-5.0000000000000001E-3</v>
      </c>
      <c r="T6" s="184">
        <f>VLOOKUP(VLOOKUP(T$1,$D$56:$K$77,8,0),Kompost!$B$101:$H$154,5,0)</f>
        <v>-5.0000000000000001E-3</v>
      </c>
      <c r="U6" s="184">
        <f>VLOOKUP(VLOOKUP(U$1,$D$56:$K$77,8,0),Kompost!$B$101:$H$154,5,0)</f>
        <v>-5.0000000000000001E-3</v>
      </c>
      <c r="V6" s="184">
        <f>VLOOKUP(VLOOKUP(V$1,$D$56:$K$77,8,0),Kompost!$B$101:$H$154,5,0)</f>
        <v>0</v>
      </c>
      <c r="W6" s="184">
        <f>VLOOKUP(VLOOKUP(W$1,$D$56:$K$77,8,0),Kompost!$B$101:$H$154,5,0)</f>
        <v>0</v>
      </c>
      <c r="X6" s="184">
        <f>VLOOKUP(VLOOKUP(X$1,$D$56:$K$77,8,0),Kompost!$B$101:$H$154,5,0)</f>
        <v>0</v>
      </c>
      <c r="Y6" s="184">
        <f>VLOOKUP(VLOOKUP(Y$1,$D$56:$K$77,8,0),Kompost!$B$101:$H$154,5,0)</f>
        <v>0</v>
      </c>
      <c r="Z6" s="184">
        <f>VLOOKUP(VLOOKUP(Z$1,$D$56:$K$77,8,0),Kompost!$B$101:$H$154,5,0)</f>
        <v>0</v>
      </c>
      <c r="AA6" s="7"/>
      <c r="AB6" s="8"/>
      <c r="AC6" s="7"/>
      <c r="AD6" s="7"/>
    </row>
    <row r="7" spans="1:30" ht="11.25" customHeight="1" thickBot="1" x14ac:dyDescent="0.2">
      <c r="C7" s="3" t="s">
        <v>588</v>
      </c>
      <c r="E7" s="184">
        <f>VLOOKUP(VLOOKUP(E$1,$D$56:$K$77,8,0),Kompost!$B$101:$H$154,6,0)</f>
        <v>1</v>
      </c>
      <c r="F7" s="184">
        <f>VLOOKUP(VLOOKUP(F$1,$D$56:$K$77,8,0),Kompost!$B$101:$H$154,6,0)</f>
        <v>1</v>
      </c>
      <c r="G7" s="184">
        <f>VLOOKUP(VLOOKUP(G$1,$D$56:$K$77,8,0),Kompost!$B$101:$H$154,6,0)</f>
        <v>1.2</v>
      </c>
      <c r="H7" s="184">
        <f>VLOOKUP(VLOOKUP(H$1,$D$56:$K$77,8,0),Kompost!$B$101:$H$154,6,0)</f>
        <v>1.2</v>
      </c>
      <c r="I7" s="184">
        <f>VLOOKUP(VLOOKUP(I$1,$D$56:$K$77,8,0),Kompost!$B$101:$H$154,6,0)</f>
        <v>1.2</v>
      </c>
      <c r="J7" s="184">
        <f>VLOOKUP(VLOOKUP(J$1,$D$56:$K$77,8,0),Kompost!$B$101:$H$154,6,0)</f>
        <v>1</v>
      </c>
      <c r="K7" s="184">
        <f>VLOOKUP(VLOOKUP(K$1,$D$56:$K$77,8,0),Kompost!$B$101:$H$154,6,0)</f>
        <v>1.2</v>
      </c>
      <c r="L7" s="184">
        <f>VLOOKUP(VLOOKUP(L$1,$D$56:$K$77,8,0),Kompost!$B$101:$H$154,6,0)</f>
        <v>1.2</v>
      </c>
      <c r="M7" s="184">
        <f>VLOOKUP(VLOOKUP(M$1,$D$56:$K$77,8,0),Kompost!$B$101:$H$154,6,0)</f>
        <v>1.2</v>
      </c>
      <c r="N7" s="184">
        <f>VLOOKUP(VLOOKUP(N$1,$D$56:$K$77,8,0),Kompost!$B$101:$H$154,6,0)</f>
        <v>1.2</v>
      </c>
      <c r="O7" s="184">
        <f>VLOOKUP(VLOOKUP(O$1,$D$56:$K$77,8,0),Kompost!$B$101:$H$154,6,0)</f>
        <v>1</v>
      </c>
      <c r="P7" s="184">
        <f>VLOOKUP(VLOOKUP(P$1,$D$56:$K$77,8,0),Kompost!$B$101:$H$154,6,0)</f>
        <v>1</v>
      </c>
      <c r="Q7" s="184">
        <f>VLOOKUP(VLOOKUP(Q$1,$D$56:$K$77,8,0),Kompost!$B$101:$H$154,6,0)</f>
        <v>1.2</v>
      </c>
      <c r="R7" s="184">
        <f>VLOOKUP(VLOOKUP(R$1,$D$56:$K$77,8,0),Kompost!$B$101:$H$154,6,0)</f>
        <v>1.1599999999999999</v>
      </c>
      <c r="S7" s="184">
        <f>VLOOKUP(VLOOKUP(S$1,$D$56:$K$77,8,0),Kompost!$B$101:$H$154,6,0)</f>
        <v>1.1599999999999999</v>
      </c>
      <c r="T7" s="184">
        <f>VLOOKUP(VLOOKUP(T$1,$D$56:$K$77,8,0),Kompost!$B$101:$H$154,6,0)</f>
        <v>1.1599999999999999</v>
      </c>
      <c r="U7" s="184">
        <f>VLOOKUP(VLOOKUP(U$1,$D$56:$K$77,8,0),Kompost!$B$101:$H$154,6,0)</f>
        <v>1.1599999999999999</v>
      </c>
      <c r="V7" s="184">
        <f>VLOOKUP(VLOOKUP(V$1,$D$56:$K$77,8,0),Kompost!$B$101:$H$154,6,0)</f>
        <v>1</v>
      </c>
      <c r="W7" s="184">
        <f>VLOOKUP(VLOOKUP(W$1,$D$56:$K$77,8,0),Kompost!$B$101:$H$154,6,0)</f>
        <v>1.4</v>
      </c>
      <c r="X7" s="184">
        <f>VLOOKUP(VLOOKUP(X$1,$D$56:$K$77,8,0),Kompost!$B$101:$H$154,6,0)</f>
        <v>1.4</v>
      </c>
      <c r="Y7" s="184">
        <f>VLOOKUP(VLOOKUP(Y$1,$D$56:$K$77,8,0),Kompost!$B$101:$H$154,6,0)</f>
        <v>1</v>
      </c>
      <c r="Z7" s="184">
        <f>VLOOKUP(VLOOKUP(Z$1,$D$56:$K$77,8,0),Kompost!$B$101:$H$154,6,0)</f>
        <v>1.2</v>
      </c>
      <c r="AA7" s="7"/>
      <c r="AB7" s="8"/>
      <c r="AC7" s="7"/>
      <c r="AD7" s="7"/>
    </row>
    <row r="8" spans="1:30" ht="11.25" customHeight="1" thickBot="1" x14ac:dyDescent="0.2">
      <c r="C8" s="3" t="s">
        <v>589</v>
      </c>
      <c r="E8" s="184">
        <f>VLOOKUP(VLOOKUP(E$1,$D$56:$K$77,8,0),Kompost!$B$101:$H$154,7,0)</f>
        <v>2</v>
      </c>
      <c r="F8" s="184">
        <f>VLOOKUP(VLOOKUP(F$1,$D$56:$K$77,8,0),Kompost!$B$101:$H$154,7,0)</f>
        <v>2</v>
      </c>
      <c r="G8" s="184">
        <f>VLOOKUP(VLOOKUP(G$1,$D$56:$K$77,8,0),Kompost!$B$101:$H$154,7,0)</f>
        <v>4</v>
      </c>
      <c r="H8" s="184">
        <f>VLOOKUP(VLOOKUP(H$1,$D$56:$K$77,8,0),Kompost!$B$101:$H$154,7,0)</f>
        <v>4</v>
      </c>
      <c r="I8" s="184">
        <f>VLOOKUP(VLOOKUP(I$1,$D$56:$K$77,8,0),Kompost!$B$101:$H$154,7,0)</f>
        <v>4</v>
      </c>
      <c r="J8" s="184">
        <f>VLOOKUP(VLOOKUP(J$1,$D$56:$K$77,8,0),Kompost!$B$101:$H$154,7,0)</f>
        <v>2</v>
      </c>
      <c r="K8" s="184">
        <f>VLOOKUP(VLOOKUP(K$1,$D$56:$K$77,8,0),Kompost!$B$101:$H$154,7,0)</f>
        <v>4</v>
      </c>
      <c r="L8" s="184">
        <f>VLOOKUP(VLOOKUP(L$1,$D$56:$K$77,8,0),Kompost!$B$101:$H$154,7,0)</f>
        <v>4</v>
      </c>
      <c r="M8" s="184">
        <f>VLOOKUP(VLOOKUP(M$1,$D$56:$K$77,8,0),Kompost!$B$101:$H$154,7,0)</f>
        <v>4</v>
      </c>
      <c r="N8" s="184">
        <f>VLOOKUP(VLOOKUP(N$1,$D$56:$K$77,8,0),Kompost!$B$101:$H$154,7,0)</f>
        <v>4</v>
      </c>
      <c r="O8" s="184">
        <f>VLOOKUP(VLOOKUP(O$1,$D$56:$K$77,8,0),Kompost!$B$101:$H$154,7,0)</f>
        <v>0</v>
      </c>
      <c r="P8" s="184">
        <f>VLOOKUP(VLOOKUP(P$1,$D$56:$K$77,8,0),Kompost!$B$101:$H$154,7,0)</f>
        <v>0</v>
      </c>
      <c r="Q8" s="184">
        <f>VLOOKUP(VLOOKUP(Q$1,$D$56:$K$77,8,0),Kompost!$B$101:$H$154,7,0)</f>
        <v>4</v>
      </c>
      <c r="R8" s="184">
        <f>VLOOKUP(VLOOKUP(R$1,$D$56:$K$77,8,0),Kompost!$B$101:$H$154,7,0)</f>
        <v>-4.1749999999999998</v>
      </c>
      <c r="S8" s="184">
        <f>VLOOKUP(VLOOKUP(S$1,$D$56:$K$77,8,0),Kompost!$B$101:$H$154,7,0)</f>
        <v>-4.1749999999999998</v>
      </c>
      <c r="T8" s="184">
        <f>VLOOKUP(VLOOKUP(T$1,$D$56:$K$77,8,0),Kompost!$B$101:$H$154,7,0)</f>
        <v>-4.1749999999999998</v>
      </c>
      <c r="U8" s="184">
        <f>VLOOKUP(VLOOKUP(U$1,$D$56:$K$77,8,0),Kompost!$B$101:$H$154,7,0)</f>
        <v>-4.1749999999999998</v>
      </c>
      <c r="V8" s="184">
        <f>VLOOKUP(VLOOKUP(V$1,$D$56:$K$77,8,0),Kompost!$B$101:$H$154,7,0)</f>
        <v>2</v>
      </c>
      <c r="W8" s="184">
        <f>VLOOKUP(VLOOKUP(W$1,$D$56:$K$77,8,0),Kompost!$B$101:$H$154,7,0)</f>
        <v>1</v>
      </c>
      <c r="X8" s="184">
        <f>VLOOKUP(VLOOKUP(X$1,$D$56:$K$77,8,0),Kompost!$B$101:$H$154,7,0)</f>
        <v>1</v>
      </c>
      <c r="Y8" s="184">
        <f>VLOOKUP(VLOOKUP(Y$1,$D$56:$K$77,8,0),Kompost!$B$101:$H$154,7,0)</f>
        <v>2</v>
      </c>
      <c r="Z8" s="184">
        <f>VLOOKUP(VLOOKUP(Z$1,$D$56:$K$77,8,0),Kompost!$B$101:$H$154,7,0)</f>
        <v>-2</v>
      </c>
      <c r="AA8" s="7"/>
      <c r="AB8" s="8"/>
      <c r="AC8" s="7"/>
      <c r="AD8" s="7"/>
    </row>
    <row r="9" spans="1:30" ht="11.25" customHeight="1" x14ac:dyDescent="0.15">
      <c r="C9" s="2" t="str">
        <f>Texte!A97</f>
        <v>Humus äq</v>
      </c>
      <c r="E9" s="2">
        <f>E6*(E5*E5)/100+E7*E5/10+E8</f>
        <v>11</v>
      </c>
      <c r="F9" s="2">
        <f t="shared" ref="F9:Q9" si="0">F6*(F5*F5)/100+F7*F5/10+F8</f>
        <v>9.5</v>
      </c>
      <c r="G9" s="2">
        <f t="shared" si="0"/>
        <v>26.8</v>
      </c>
      <c r="H9" s="2">
        <f t="shared" si="0"/>
        <v>29.2</v>
      </c>
      <c r="I9" s="2">
        <f t="shared" si="0"/>
        <v>28</v>
      </c>
      <c r="J9" s="2">
        <f t="shared" si="0"/>
        <v>11</v>
      </c>
      <c r="K9" s="2">
        <f t="shared" si="0"/>
        <v>29.2</v>
      </c>
      <c r="L9" s="2">
        <f t="shared" si="0"/>
        <v>46</v>
      </c>
      <c r="M9" s="2">
        <f t="shared" si="0"/>
        <v>46</v>
      </c>
      <c r="N9" s="2">
        <f t="shared" si="0"/>
        <v>36.4</v>
      </c>
      <c r="O9" s="2">
        <f t="shared" si="0"/>
        <v>5</v>
      </c>
      <c r="P9" s="2">
        <f t="shared" si="0"/>
        <v>5</v>
      </c>
      <c r="Q9" s="2">
        <f t="shared" si="0"/>
        <v>36.4</v>
      </c>
      <c r="R9" s="2">
        <f>R6*(R5*R5)/100+R7*R5/10+R8</f>
        <v>30.3</v>
      </c>
      <c r="S9" s="2">
        <f t="shared" ref="S9:Z9" si="1">S6*(S5*S5)/100+S7*S5/10+S8</f>
        <v>41.325000000000003</v>
      </c>
      <c r="T9" s="2">
        <f t="shared" si="1"/>
        <v>50.100000000000009</v>
      </c>
      <c r="U9" s="2">
        <f t="shared" si="1"/>
        <v>47.424999999999997</v>
      </c>
      <c r="V9" s="2">
        <f t="shared" si="1"/>
        <v>6.5</v>
      </c>
      <c r="W9" s="2">
        <f t="shared" si="1"/>
        <v>38.94</v>
      </c>
      <c r="X9" s="2">
        <f t="shared" si="1"/>
        <v>69.599999999999994</v>
      </c>
      <c r="Y9" s="2">
        <f>Y6*(Y5*Y5)/100+Y7*Y5/10+Y8</f>
        <v>15</v>
      </c>
      <c r="Z9" s="2">
        <f t="shared" si="1"/>
        <v>59.2</v>
      </c>
      <c r="AA9" s="7"/>
      <c r="AB9" s="8"/>
      <c r="AC9" s="7"/>
      <c r="AD9" s="7"/>
    </row>
    <row r="10" spans="1:30" ht="11.25" customHeight="1" x14ac:dyDescent="0.15">
      <c r="C10" s="2" t="str">
        <f>Texte!$A$98</f>
        <v>OS</v>
      </c>
      <c r="E10" s="2">
        <v>70</v>
      </c>
      <c r="F10" s="2">
        <v>40</v>
      </c>
      <c r="G10" s="2">
        <v>150</v>
      </c>
      <c r="H10" s="2">
        <v>175</v>
      </c>
      <c r="I10" s="2">
        <v>150</v>
      </c>
      <c r="J10" s="2">
        <v>65</v>
      </c>
      <c r="K10" s="2">
        <v>155</v>
      </c>
      <c r="L10" s="2">
        <v>300</v>
      </c>
      <c r="M10" s="2">
        <v>240</v>
      </c>
      <c r="N10" s="2">
        <v>200</v>
      </c>
      <c r="O10" s="2">
        <v>36</v>
      </c>
      <c r="P10" s="2">
        <v>33</v>
      </c>
      <c r="Q10" s="2">
        <v>230</v>
      </c>
      <c r="R10" s="2">
        <v>250</v>
      </c>
      <c r="S10" s="2">
        <v>330</v>
      </c>
      <c r="T10" s="2">
        <v>440</v>
      </c>
      <c r="U10" s="2">
        <v>400</v>
      </c>
      <c r="V10" s="11">
        <v>20.7</v>
      </c>
      <c r="W10" s="11">
        <v>113.82</v>
      </c>
      <c r="X10" s="7">
        <v>235</v>
      </c>
      <c r="Y10" s="7">
        <v>61</v>
      </c>
      <c r="Z10" s="2">
        <f>Kompost!$E$28</f>
        <v>214</v>
      </c>
      <c r="AA10" s="7"/>
      <c r="AB10" s="8"/>
      <c r="AC10" s="7"/>
      <c r="AD10" s="7"/>
    </row>
    <row r="11" spans="1:30" ht="11.25" customHeight="1" x14ac:dyDescent="0.15">
      <c r="C11" s="3" t="str">
        <f>Texte!$A$99</f>
        <v>Nges</v>
      </c>
      <c r="D11" s="2" t="s">
        <v>32</v>
      </c>
      <c r="E11" s="2">
        <v>3.9</v>
      </c>
      <c r="F11" s="2">
        <v>4.5</v>
      </c>
      <c r="G11" s="2">
        <v>4.5</v>
      </c>
      <c r="H11" s="2">
        <v>4.9000000000000004</v>
      </c>
      <c r="I11" s="2">
        <v>5</v>
      </c>
      <c r="J11" s="2">
        <v>4</v>
      </c>
      <c r="K11" s="2">
        <v>4.0999999999999996</v>
      </c>
      <c r="L11" s="2">
        <v>4.4000000000000004</v>
      </c>
      <c r="M11" s="2">
        <v>6.8</v>
      </c>
      <c r="N11" s="2">
        <v>8.1999999999999993</v>
      </c>
      <c r="O11" s="2">
        <v>6.5</v>
      </c>
      <c r="P11" s="2">
        <v>4.7</v>
      </c>
      <c r="Q11" s="2">
        <v>8.8000000000000007</v>
      </c>
      <c r="R11" s="2">
        <v>21</v>
      </c>
      <c r="S11" s="2">
        <v>26</v>
      </c>
      <c r="T11" s="2">
        <v>32</v>
      </c>
      <c r="U11" s="2">
        <v>28</v>
      </c>
      <c r="V11" s="7">
        <f>VLOOKUP($C11,Kompost!$A$17:$L$81,6,0)</f>
        <v>3.3</v>
      </c>
      <c r="W11" s="7">
        <f>VLOOKUP($C11,Kompost!$A$17:$L$81,10,0)</f>
        <v>5.6756756756756763</v>
      </c>
      <c r="X11" s="3">
        <v>6</v>
      </c>
      <c r="Y11" s="3">
        <v>4</v>
      </c>
      <c r="Z11" s="2">
        <f>Kompost!$E$33</f>
        <v>7</v>
      </c>
      <c r="AA11" s="7"/>
      <c r="AB11" s="8"/>
      <c r="AC11" s="7"/>
      <c r="AD11" s="7"/>
    </row>
    <row r="12" spans="1:30" ht="11.25" customHeight="1" x14ac:dyDescent="0.15">
      <c r="C12" s="2" t="s">
        <v>10</v>
      </c>
      <c r="E12" s="2">
        <v>2.1</v>
      </c>
      <c r="F12" s="2">
        <v>2.9</v>
      </c>
      <c r="G12" s="2">
        <v>0.7</v>
      </c>
      <c r="H12" s="2">
        <v>1.2</v>
      </c>
      <c r="I12" s="3">
        <v>1.9</v>
      </c>
      <c r="J12" s="2">
        <v>2.1</v>
      </c>
      <c r="K12" s="2">
        <v>1</v>
      </c>
      <c r="L12" s="2">
        <v>1.2</v>
      </c>
      <c r="M12" s="2">
        <v>0.7</v>
      </c>
      <c r="N12" s="3">
        <v>2.4</v>
      </c>
      <c r="O12" s="2">
        <v>4.5999999999999996</v>
      </c>
      <c r="P12" s="2">
        <v>3.3</v>
      </c>
      <c r="Q12" s="2">
        <v>2.6</v>
      </c>
      <c r="R12" s="2">
        <v>6.3</v>
      </c>
      <c r="S12" s="2">
        <v>7</v>
      </c>
      <c r="T12" s="2">
        <v>10</v>
      </c>
      <c r="U12" s="2">
        <v>7.5</v>
      </c>
      <c r="V12" s="7">
        <f>VLOOKUP(C12,Kompost!A18:L82,6,0)</f>
        <v>1.8</v>
      </c>
      <c r="W12" s="7">
        <f>VLOOKUP($C12,Kompost!$A$17:$L$81,10,0)</f>
        <v>1.8918918918918919</v>
      </c>
      <c r="X12" s="7">
        <v>0.3</v>
      </c>
      <c r="Y12" s="3">
        <v>2</v>
      </c>
      <c r="Z12" s="2">
        <f>Kompost!$E$38</f>
        <v>0.3</v>
      </c>
      <c r="AA12" s="7"/>
      <c r="AB12" s="8"/>
      <c r="AC12" s="7"/>
      <c r="AD12" s="7"/>
    </row>
    <row r="13" spans="1:30" ht="11.25" customHeight="1" x14ac:dyDescent="0.15">
      <c r="C13" s="1" t="str">
        <f>Texte!$A$100</f>
        <v>Nverf</v>
      </c>
      <c r="D13" s="2" t="s">
        <v>469</v>
      </c>
      <c r="E13" s="2">
        <f>AVERAGE(E14:E15)</f>
        <v>2.35</v>
      </c>
      <c r="F13" s="2">
        <f t="shared" ref="F13:Y13" si="2">AVERAGE(F14:F15)</f>
        <v>3.3499999999999996</v>
      </c>
      <c r="G13" s="2">
        <f t="shared" si="2"/>
        <v>1.35</v>
      </c>
      <c r="H13" s="2">
        <f t="shared" si="2"/>
        <v>1.85</v>
      </c>
      <c r="I13" s="2">
        <f t="shared" si="2"/>
        <v>1.9</v>
      </c>
      <c r="J13" s="2">
        <f t="shared" si="2"/>
        <v>2.4</v>
      </c>
      <c r="K13" s="2">
        <f t="shared" si="2"/>
        <v>1.4</v>
      </c>
      <c r="L13" s="2">
        <f t="shared" si="2"/>
        <v>0.55000000000000004</v>
      </c>
      <c r="M13" s="2">
        <f t="shared" si="2"/>
        <v>1.25</v>
      </c>
      <c r="N13" s="2">
        <f t="shared" si="2"/>
        <v>3.5</v>
      </c>
      <c r="O13" s="2">
        <f t="shared" si="2"/>
        <v>3.9499999999999997</v>
      </c>
      <c r="P13" s="2">
        <f t="shared" si="2"/>
        <v>2.9</v>
      </c>
      <c r="Q13" s="2">
        <f t="shared" si="2"/>
        <v>4.4000000000000004</v>
      </c>
      <c r="R13" s="2">
        <f t="shared" si="2"/>
        <v>10.7</v>
      </c>
      <c r="S13" s="2">
        <f t="shared" si="2"/>
        <v>13.5</v>
      </c>
      <c r="T13" s="2">
        <f t="shared" si="2"/>
        <v>16</v>
      </c>
      <c r="U13" s="2">
        <f t="shared" si="2"/>
        <v>15</v>
      </c>
      <c r="V13" s="2">
        <f t="shared" si="2"/>
        <v>2.145</v>
      </c>
      <c r="W13" s="2">
        <f t="shared" si="2"/>
        <v>1.1351351351351353</v>
      </c>
      <c r="X13" s="2">
        <f t="shared" si="2"/>
        <v>1.2</v>
      </c>
      <c r="Y13" s="2">
        <f t="shared" si="2"/>
        <v>2.5999999999999996</v>
      </c>
      <c r="Z13" s="3">
        <f>Kompost!$E$42</f>
        <v>0.52500000000000002</v>
      </c>
      <c r="AA13" s="7"/>
      <c r="AB13" s="8"/>
      <c r="AC13" s="7"/>
      <c r="AD13" s="7"/>
    </row>
    <row r="14" spans="1:30" ht="11.25" customHeight="1" x14ac:dyDescent="0.15">
      <c r="C14" s="3" t="s">
        <v>481</v>
      </c>
      <c r="D14" s="2" t="s">
        <v>16</v>
      </c>
      <c r="E14" s="2">
        <v>2</v>
      </c>
      <c r="F14" s="2">
        <v>2.9</v>
      </c>
      <c r="G14" s="2">
        <v>0.9</v>
      </c>
      <c r="H14" s="2">
        <v>1.2</v>
      </c>
      <c r="I14" s="3">
        <v>1.3</v>
      </c>
      <c r="J14" s="2">
        <v>2</v>
      </c>
      <c r="K14" s="2">
        <v>1</v>
      </c>
      <c r="L14" s="2">
        <v>0.3</v>
      </c>
      <c r="M14" s="2">
        <v>0.7</v>
      </c>
      <c r="N14" s="3">
        <v>3</v>
      </c>
      <c r="O14" s="2">
        <v>3.3</v>
      </c>
      <c r="P14" s="2">
        <v>2.4</v>
      </c>
      <c r="Q14" s="2">
        <v>3.5</v>
      </c>
      <c r="R14" s="2">
        <v>8.4</v>
      </c>
      <c r="S14" s="2">
        <v>11</v>
      </c>
      <c r="T14" s="2">
        <v>13</v>
      </c>
      <c r="U14" s="3">
        <v>12</v>
      </c>
      <c r="V14" s="7">
        <f>V11*Nverf!$D$24/100</f>
        <v>1.98</v>
      </c>
      <c r="W14" s="7">
        <f>W11*Nverf!$D$25/100</f>
        <v>0.85135135135135143</v>
      </c>
      <c r="X14" s="7">
        <f>X11*Nverf!$D$25/100</f>
        <v>0.9</v>
      </c>
      <c r="Y14" s="7">
        <f>Y11*Nverf!$D$24/100</f>
        <v>2.4</v>
      </c>
      <c r="Z14" s="2">
        <f>Kompost!$E$44</f>
        <v>5</v>
      </c>
      <c r="AA14" s="7"/>
      <c r="AB14" s="8"/>
      <c r="AC14" s="7"/>
      <c r="AD14" s="7"/>
    </row>
    <row r="15" spans="1:30" ht="11.25" customHeight="1" x14ac:dyDescent="0.15">
      <c r="C15" s="3" t="s">
        <v>474</v>
      </c>
      <c r="D15" s="2" t="s">
        <v>17</v>
      </c>
      <c r="E15" s="2">
        <v>2.7</v>
      </c>
      <c r="F15" s="2">
        <v>3.8</v>
      </c>
      <c r="G15" s="2">
        <v>1.8</v>
      </c>
      <c r="H15" s="3">
        <v>2.5</v>
      </c>
      <c r="I15" s="3">
        <v>2.5</v>
      </c>
      <c r="J15" s="2">
        <v>2.8</v>
      </c>
      <c r="K15" s="2">
        <v>1.8</v>
      </c>
      <c r="L15" s="3">
        <v>0.8</v>
      </c>
      <c r="M15" s="3">
        <v>1.8</v>
      </c>
      <c r="N15" s="3">
        <v>4</v>
      </c>
      <c r="O15" s="2">
        <v>4.5999999999999996</v>
      </c>
      <c r="P15" s="2">
        <v>3.4</v>
      </c>
      <c r="Q15" s="2">
        <v>5.3</v>
      </c>
      <c r="R15" s="3">
        <v>13</v>
      </c>
      <c r="S15" s="3">
        <v>16</v>
      </c>
      <c r="T15" s="3">
        <v>19</v>
      </c>
      <c r="U15" s="3">
        <v>18</v>
      </c>
      <c r="V15" s="7">
        <f>V11*Nverf!$E$24/100</f>
        <v>2.31</v>
      </c>
      <c r="W15" s="7">
        <f>W11*Nverf!$E$25/100</f>
        <v>1.4189189189189191</v>
      </c>
      <c r="X15" s="7">
        <f>X11*Nverf!$E$25/100</f>
        <v>1.5</v>
      </c>
      <c r="Y15" s="7">
        <f>Y11*Nverf!$E$24/100</f>
        <v>2.8</v>
      </c>
      <c r="Z15" s="2">
        <f>Kompost!$E$45</f>
        <v>10</v>
      </c>
      <c r="AA15" s="7"/>
      <c r="AB15" s="7"/>
      <c r="AC15" s="7"/>
      <c r="AD15" s="7"/>
    </row>
    <row r="16" spans="1:30" ht="11.25" customHeight="1" x14ac:dyDescent="0.15">
      <c r="C16" s="2" t="s">
        <v>12</v>
      </c>
      <c r="E16" s="2">
        <v>0.74</v>
      </c>
      <c r="F16" s="2">
        <v>0.47</v>
      </c>
      <c r="G16" s="2">
        <v>1.3</v>
      </c>
      <c r="H16" s="2">
        <v>0.94</v>
      </c>
      <c r="I16" s="3">
        <v>1.1000000000000001</v>
      </c>
      <c r="J16" s="2">
        <v>0.55000000000000004</v>
      </c>
      <c r="K16" s="2">
        <v>0.56999999999999995</v>
      </c>
      <c r="L16" s="3">
        <v>1.1000000000000001</v>
      </c>
      <c r="M16" s="3">
        <v>2.2000000000000002</v>
      </c>
      <c r="N16" s="3">
        <v>1.6</v>
      </c>
      <c r="O16" s="2">
        <v>1.4</v>
      </c>
      <c r="P16" s="2">
        <v>1.2</v>
      </c>
      <c r="Q16" s="2">
        <v>2.9</v>
      </c>
      <c r="R16" s="2">
        <v>7.4</v>
      </c>
      <c r="S16" s="2">
        <v>13</v>
      </c>
      <c r="T16" s="2">
        <v>7.5</v>
      </c>
      <c r="U16" s="2">
        <v>10</v>
      </c>
      <c r="V16" s="7"/>
      <c r="W16" s="3"/>
      <c r="X16" s="2">
        <v>1.3</v>
      </c>
      <c r="Y16" s="2">
        <v>0.9</v>
      </c>
      <c r="Z16" s="2">
        <f>Kompost!$E$47</f>
        <v>1.3</v>
      </c>
      <c r="AA16" s="7"/>
      <c r="AB16" s="7"/>
      <c r="AC16" s="7"/>
      <c r="AD16" s="7"/>
    </row>
    <row r="17" spans="1:32" ht="11.25" customHeight="1" x14ac:dyDescent="0.15">
      <c r="C17" s="2" t="str">
        <f>Texte!$A$101</f>
        <v>P2O5</v>
      </c>
      <c r="E17" s="2">
        <v>1.7</v>
      </c>
      <c r="F17" s="2">
        <v>1.1000000000000001</v>
      </c>
      <c r="G17" s="2">
        <v>3</v>
      </c>
      <c r="H17" s="2">
        <v>2.2000000000000002</v>
      </c>
      <c r="I17" s="3">
        <v>2.5</v>
      </c>
      <c r="J17" s="2">
        <v>1.3</v>
      </c>
      <c r="K17" s="2">
        <v>1.3</v>
      </c>
      <c r="L17" s="2">
        <v>2.5</v>
      </c>
      <c r="M17" s="2">
        <v>5</v>
      </c>
      <c r="N17" s="3">
        <v>3.7</v>
      </c>
      <c r="O17" s="2">
        <v>3.2</v>
      </c>
      <c r="P17" s="2">
        <v>2.7</v>
      </c>
      <c r="Q17" s="2">
        <v>6.6</v>
      </c>
      <c r="R17" s="2">
        <v>17</v>
      </c>
      <c r="S17" s="2">
        <v>30</v>
      </c>
      <c r="T17" s="2">
        <v>17</v>
      </c>
      <c r="U17" s="2">
        <v>23</v>
      </c>
      <c r="V17" s="7">
        <f>VLOOKUP(C17,Kompost!A18:L82,6,0)</f>
        <v>1.3</v>
      </c>
      <c r="W17" s="7">
        <f>VLOOKUP($C17,Kompost!$A$17:$L$81,10,0)</f>
        <v>3.7837837837837838</v>
      </c>
      <c r="X17" s="7">
        <v>3</v>
      </c>
      <c r="Y17" s="7">
        <v>2</v>
      </c>
      <c r="Z17" s="2">
        <f>Kompost!$E$52</f>
        <v>3</v>
      </c>
      <c r="AA17" s="7"/>
      <c r="AB17" s="7"/>
    </row>
    <row r="18" spans="1:32" ht="11.25" customHeight="1" x14ac:dyDescent="0.15">
      <c r="C18" s="2" t="s">
        <v>13</v>
      </c>
      <c r="E18" s="2">
        <v>6.2</v>
      </c>
      <c r="F18" s="2">
        <v>9</v>
      </c>
      <c r="G18" s="2">
        <v>5.0999999999999996</v>
      </c>
      <c r="H18" s="2">
        <v>8.4</v>
      </c>
      <c r="I18" s="3">
        <v>4.7</v>
      </c>
      <c r="J18" s="2">
        <v>3.7</v>
      </c>
      <c r="K18" s="2">
        <v>4.4000000000000004</v>
      </c>
      <c r="L18" s="2">
        <v>8.1</v>
      </c>
      <c r="M18" s="2">
        <v>16.2</v>
      </c>
      <c r="N18" s="3">
        <v>14</v>
      </c>
      <c r="O18" s="2">
        <v>3</v>
      </c>
      <c r="P18" s="2">
        <v>2.5</v>
      </c>
      <c r="Q18" s="2">
        <v>6</v>
      </c>
      <c r="R18" s="2">
        <v>9.3000000000000007</v>
      </c>
      <c r="S18" s="2">
        <v>17</v>
      </c>
      <c r="T18" s="2">
        <v>23</v>
      </c>
      <c r="U18" s="2">
        <v>10.8</v>
      </c>
      <c r="V18" s="7"/>
      <c r="W18" s="7"/>
      <c r="X18" s="2">
        <v>4.2</v>
      </c>
      <c r="Y18" s="2">
        <v>3.3</v>
      </c>
      <c r="Z18" s="2">
        <f>Kompost!$E$57</f>
        <v>4.2</v>
      </c>
      <c r="AA18" s="7"/>
      <c r="AB18" s="7"/>
      <c r="AC18" s="7"/>
      <c r="AD18" s="7"/>
    </row>
    <row r="19" spans="1:32" ht="11.25" customHeight="1" x14ac:dyDescent="0.15">
      <c r="C19" s="2" t="str">
        <f>Texte!$A$102</f>
        <v>K2O</v>
      </c>
      <c r="E19" s="2">
        <v>7.5</v>
      </c>
      <c r="F19" s="2">
        <v>11</v>
      </c>
      <c r="G19" s="2">
        <v>6.1</v>
      </c>
      <c r="H19" s="2">
        <v>10</v>
      </c>
      <c r="I19" s="3">
        <v>5.7</v>
      </c>
      <c r="J19" s="2">
        <v>4.5</v>
      </c>
      <c r="K19" s="2">
        <v>5.3</v>
      </c>
      <c r="L19" s="2">
        <v>9.8000000000000007</v>
      </c>
      <c r="M19" s="2">
        <v>19</v>
      </c>
      <c r="N19" s="3">
        <v>17</v>
      </c>
      <c r="O19" s="2">
        <v>3.6</v>
      </c>
      <c r="P19" s="2">
        <v>3</v>
      </c>
      <c r="Q19" s="2">
        <v>7.3</v>
      </c>
      <c r="R19" s="2">
        <v>11</v>
      </c>
      <c r="S19" s="2">
        <v>20</v>
      </c>
      <c r="T19" s="2">
        <v>28</v>
      </c>
      <c r="U19" s="2">
        <v>13</v>
      </c>
      <c r="V19" s="7">
        <f>VLOOKUP(C19,Kompost!A20:L84,6,0)</f>
        <v>3.8</v>
      </c>
      <c r="W19" s="7">
        <f>VLOOKUP($C19,Kompost!$A$17:$L$81,10,0)</f>
        <v>4.5945945945945947</v>
      </c>
      <c r="X19" s="7">
        <v>5</v>
      </c>
      <c r="Y19" s="7">
        <v>4</v>
      </c>
      <c r="Z19" s="2">
        <f>Kompost!$E$62</f>
        <v>5</v>
      </c>
      <c r="AA19" s="7"/>
      <c r="AB19" s="7"/>
      <c r="AC19" s="7"/>
      <c r="AD19" s="7"/>
    </row>
    <row r="20" spans="1:32" ht="11.25" customHeight="1" x14ac:dyDescent="0.15">
      <c r="C20" s="3" t="str">
        <f>Texte!$A$103</f>
        <v>Mg</v>
      </c>
      <c r="E20" s="2">
        <v>0.61</v>
      </c>
      <c r="F20" s="2">
        <v>0.57999999999999996</v>
      </c>
      <c r="G20" s="2">
        <v>0.93</v>
      </c>
      <c r="H20" s="2">
        <v>0.82</v>
      </c>
      <c r="I20" s="3">
        <v>0.89</v>
      </c>
      <c r="J20" s="2">
        <v>0.37</v>
      </c>
      <c r="K20" s="2">
        <v>0.42</v>
      </c>
      <c r="L20" s="2">
        <v>0.6</v>
      </c>
      <c r="M20" s="2">
        <v>1.3</v>
      </c>
      <c r="N20" s="3">
        <v>1.3</v>
      </c>
      <c r="O20" s="2">
        <v>0.88</v>
      </c>
      <c r="P20" s="2">
        <v>0.56000000000000005</v>
      </c>
      <c r="Q20" s="2">
        <v>1.5</v>
      </c>
      <c r="R20" s="2">
        <v>2.4</v>
      </c>
      <c r="S20" s="2">
        <v>4.3</v>
      </c>
      <c r="T20" s="2">
        <v>5.5</v>
      </c>
      <c r="U20" s="2">
        <v>6</v>
      </c>
      <c r="V20" s="7">
        <f>VLOOKUP(C20,Kompost!A21:L85,6,0)</f>
        <v>0.4</v>
      </c>
      <c r="W20" s="7">
        <f>VLOOKUP($C20,Kompost!$A$17:$L$81,10,0)</f>
        <v>1.0810810810810811</v>
      </c>
      <c r="X20" s="3">
        <v>3</v>
      </c>
      <c r="Y20" s="7">
        <v>1</v>
      </c>
      <c r="Z20" s="2">
        <f>Kompost!$E$67</f>
        <v>3</v>
      </c>
      <c r="AA20" s="7"/>
      <c r="AB20" s="7"/>
      <c r="AC20" s="7"/>
      <c r="AD20" s="7"/>
    </row>
    <row r="21" spans="1:32" ht="11.25" customHeight="1" x14ac:dyDescent="0.15">
      <c r="C21" s="3" t="str">
        <f>Texte!$A$104</f>
        <v>Ca</v>
      </c>
      <c r="E21" s="2">
        <v>1.5</v>
      </c>
      <c r="F21" s="2">
        <v>1</v>
      </c>
      <c r="G21" s="2">
        <v>3</v>
      </c>
      <c r="H21" s="2">
        <v>2.2000000000000002</v>
      </c>
      <c r="I21" s="3">
        <v>1.7</v>
      </c>
      <c r="J21" s="2">
        <v>1.2</v>
      </c>
      <c r="K21" s="2">
        <v>1.5</v>
      </c>
      <c r="L21" s="2">
        <v>2.5</v>
      </c>
      <c r="M21" s="2">
        <v>5</v>
      </c>
      <c r="N21" s="3">
        <v>4.9000000000000004</v>
      </c>
      <c r="O21" s="2">
        <v>2.1</v>
      </c>
      <c r="P21" s="2">
        <v>1.5</v>
      </c>
      <c r="Q21" s="2">
        <v>5</v>
      </c>
      <c r="R21" s="2">
        <v>37</v>
      </c>
      <c r="S21" s="2">
        <v>67</v>
      </c>
      <c r="T21" s="2">
        <v>5</v>
      </c>
      <c r="U21" s="2">
        <v>12</v>
      </c>
      <c r="V21" s="7">
        <f>VLOOKUP(C21,Kompost!A22:L86,6,0)</f>
        <v>1.5</v>
      </c>
      <c r="W21" s="7">
        <f>VLOOKUP($C21,Kompost!$A$17:$L$81,10,0)</f>
        <v>3.7837837837837838</v>
      </c>
      <c r="X21" s="7">
        <v>25</v>
      </c>
      <c r="Y21" s="7">
        <v>5</v>
      </c>
      <c r="Z21" s="2">
        <f>Kompost!$E$72</f>
        <v>25</v>
      </c>
      <c r="AA21" s="7"/>
      <c r="AB21" s="7"/>
      <c r="AC21" s="7"/>
      <c r="AD21" s="7"/>
    </row>
    <row r="22" spans="1:32" ht="11.25" customHeight="1" x14ac:dyDescent="0.15">
      <c r="B22" s="3"/>
      <c r="C22" s="3" t="str">
        <f>Texte!$A$95</f>
        <v>Glühverlust</v>
      </c>
      <c r="E22" s="2">
        <f t="shared" ref="E22:Y22" si="3">E10/E5*100</f>
        <v>77.777777777777786</v>
      </c>
      <c r="F22" s="2">
        <f t="shared" si="3"/>
        <v>53.333333333333336</v>
      </c>
      <c r="G22" s="2">
        <f t="shared" si="3"/>
        <v>78.94736842105263</v>
      </c>
      <c r="H22" s="2">
        <f t="shared" si="3"/>
        <v>83.333333333333343</v>
      </c>
      <c r="I22" s="2">
        <f t="shared" si="3"/>
        <v>75</v>
      </c>
      <c r="J22" s="2">
        <f t="shared" si="3"/>
        <v>72.222222222222214</v>
      </c>
      <c r="K22" s="2">
        <f t="shared" si="3"/>
        <v>73.80952380952381</v>
      </c>
      <c r="L22" s="2">
        <f t="shared" si="3"/>
        <v>85.714285714285708</v>
      </c>
      <c r="M22" s="2">
        <f t="shared" si="3"/>
        <v>68.571428571428569</v>
      </c>
      <c r="N22" s="2">
        <f t="shared" si="3"/>
        <v>74.074074074074076</v>
      </c>
      <c r="O22" s="2">
        <f t="shared" si="3"/>
        <v>72</v>
      </c>
      <c r="P22" s="2">
        <f t="shared" si="3"/>
        <v>66</v>
      </c>
      <c r="Q22" s="2">
        <f t="shared" si="3"/>
        <v>85.18518518518519</v>
      </c>
      <c r="R22" s="2">
        <f t="shared" si="3"/>
        <v>71.428571428571431</v>
      </c>
      <c r="S22" s="2">
        <f t="shared" si="3"/>
        <v>66</v>
      </c>
      <c r="T22" s="2">
        <f t="shared" si="3"/>
        <v>67.692307692307693</v>
      </c>
      <c r="U22" s="2">
        <f t="shared" si="3"/>
        <v>66.666666666666657</v>
      </c>
      <c r="V22" s="2">
        <f t="shared" si="3"/>
        <v>46</v>
      </c>
      <c r="W22" s="2">
        <f t="shared" si="3"/>
        <v>42</v>
      </c>
      <c r="X22" s="2">
        <f t="shared" si="3"/>
        <v>47.959183673469383</v>
      </c>
      <c r="Y22" s="2">
        <f t="shared" si="3"/>
        <v>46.92307692307692</v>
      </c>
      <c r="Z22" s="3">
        <f>Kompost!$E$27</f>
        <v>41.96078431372549</v>
      </c>
      <c r="AA22" s="7"/>
      <c r="AB22" s="7"/>
    </row>
    <row r="23" spans="1:32" ht="11.25" customHeight="1" x14ac:dyDescent="0.15">
      <c r="B23" s="3"/>
      <c r="E23" s="1"/>
      <c r="AA23" s="7"/>
      <c r="AB23" s="7"/>
      <c r="AC23" s="7"/>
      <c r="AD23" s="7"/>
    </row>
    <row r="24" spans="1:32" ht="11.25" customHeight="1" thickBot="1" x14ac:dyDescent="0.2">
      <c r="A24" s="204" t="s">
        <v>206</v>
      </c>
      <c r="B24" s="3"/>
    </row>
    <row r="25" spans="1:32" ht="11.25" customHeight="1" x14ac:dyDescent="0.15">
      <c r="B25" s="28"/>
      <c r="C25" s="29"/>
      <c r="D25" s="29"/>
      <c r="E25" s="29"/>
      <c r="F25" s="29"/>
      <c r="G25" s="29"/>
      <c r="H25" s="29"/>
      <c r="I25" s="29"/>
      <c r="J25" s="29"/>
      <c r="K25" s="29"/>
      <c r="L25" s="29"/>
      <c r="M25" s="29"/>
      <c r="N25" s="29"/>
      <c r="O25" s="29"/>
      <c r="P25" s="29"/>
      <c r="Q25" s="29"/>
      <c r="R25" s="29"/>
      <c r="S25" s="29"/>
      <c r="T25" s="29"/>
      <c r="U25" s="29"/>
      <c r="V25" s="29"/>
      <c r="W25" s="29"/>
      <c r="X25" s="29"/>
      <c r="Y25" s="30"/>
      <c r="AC25" s="7"/>
      <c r="AD25" s="8"/>
    </row>
    <row r="26" spans="1:32" ht="11.25" customHeight="1" x14ac:dyDescent="0.15">
      <c r="A26" s="177"/>
      <c r="B26" s="1" t="s">
        <v>431</v>
      </c>
      <c r="C26" s="2" t="str">
        <f ca="1">CONCATENATE(Texte!A14," ",C27,", ",D27)</f>
        <v>Version: 1.1, Juli 2023</v>
      </c>
      <c r="D26" s="1"/>
      <c r="E26" s="1"/>
      <c r="F26" s="4" t="s">
        <v>473</v>
      </c>
      <c r="G26" s="37">
        <f ca="1">TODAY()</f>
        <v>45131</v>
      </c>
      <c r="I26" s="2" t="s">
        <v>602</v>
      </c>
      <c r="P26" s="1" t="s">
        <v>205</v>
      </c>
      <c r="Q26" s="1"/>
      <c r="R26" s="1"/>
      <c r="S26" s="1" t="s">
        <v>346</v>
      </c>
      <c r="T26" s="1"/>
      <c r="U26" s="1"/>
      <c r="V26" s="1" t="s">
        <v>201</v>
      </c>
      <c r="Y26" s="32"/>
      <c r="AC26" s="7"/>
      <c r="AD26" s="8"/>
      <c r="AE26" s="7"/>
      <c r="AF26" s="7"/>
    </row>
    <row r="27" spans="1:32" ht="11.25" customHeight="1" x14ac:dyDescent="0.2">
      <c r="A27" s="177"/>
      <c r="C27" s="4" t="s">
        <v>601</v>
      </c>
      <c r="D27" s="37" t="str">
        <f ca="1">CONCATENATE(VLOOKUP(F27,D126:E137,2,0)," ",G27)</f>
        <v>Juli 2023</v>
      </c>
      <c r="F27" s="2">
        <f ca="1">MONTH(G26)</f>
        <v>7</v>
      </c>
      <c r="G27" s="2">
        <f ca="1">YEAR(G26)</f>
        <v>2023</v>
      </c>
      <c r="P27" s="2" t="str">
        <f>Texte!$A$137</f>
        <v>Eigene Analyse</v>
      </c>
      <c r="Q27" s="2" t="str">
        <f>Texte!A139</f>
        <v>Eigene Analyse</v>
      </c>
      <c r="S27" s="2" t="str">
        <f>C41</f>
        <v>Keine Auswahl</v>
      </c>
      <c r="V27" s="13" t="s">
        <v>117</v>
      </c>
      <c r="W27" s="13" t="s">
        <v>118</v>
      </c>
      <c r="X27" s="13" t="s">
        <v>119</v>
      </c>
      <c r="Y27" s="32"/>
      <c r="AC27" s="7"/>
      <c r="AD27" s="8"/>
      <c r="AE27" s="7"/>
      <c r="AF27" s="7"/>
    </row>
    <row r="28" spans="1:32" ht="11.25" customHeight="1" x14ac:dyDescent="0.15">
      <c r="A28" s="177"/>
      <c r="I28" s="2" t="s">
        <v>584</v>
      </c>
      <c r="S28" s="2" t="str">
        <f>Texte!$A$140</f>
        <v>Ja</v>
      </c>
      <c r="V28" s="2">
        <v>1</v>
      </c>
      <c r="W28" s="2">
        <v>2</v>
      </c>
      <c r="X28" s="2">
        <v>3</v>
      </c>
      <c r="Y28" s="32"/>
      <c r="AE28" s="7"/>
      <c r="AF28" s="7"/>
    </row>
    <row r="29" spans="1:32" ht="11.25" customHeight="1" x14ac:dyDescent="0.15">
      <c r="A29" s="177"/>
      <c r="B29" s="3"/>
      <c r="J29" s="2" t="s">
        <v>587</v>
      </c>
      <c r="K29" s="2" t="s">
        <v>588</v>
      </c>
      <c r="L29" s="2" t="s">
        <v>589</v>
      </c>
      <c r="S29" s="2" t="str">
        <f>Texte!$A$141</f>
        <v>Nein</v>
      </c>
      <c r="Y29" s="32"/>
      <c r="AC29" s="7"/>
      <c r="AD29" s="7"/>
      <c r="AE29" s="7"/>
      <c r="AF29" s="7"/>
    </row>
    <row r="30" spans="1:32" ht="11.25" customHeight="1" x14ac:dyDescent="0.15">
      <c r="A30" s="177"/>
      <c r="B30" s="3" t="s">
        <v>524</v>
      </c>
      <c r="C30" s="3" t="s">
        <v>551</v>
      </c>
      <c r="I30" s="2" t="e">
        <f>VLOOKUP('Rechner Calulateur'!E26,E56:K77,7,0)</f>
        <v>#N/A</v>
      </c>
      <c r="J30" s="2" t="e">
        <f>VLOOKUP($I$30,Kompost!$B$101:$H$154,5,0)</f>
        <v>#N/A</v>
      </c>
      <c r="K30" s="2" t="e">
        <f>VLOOKUP($I$30,Kompost!$B$101:$H$154,6,0)</f>
        <v>#N/A</v>
      </c>
      <c r="L30" s="2" t="e">
        <f>VLOOKUP($I$30,Kompost!$B$101:$H$154,7,0)</f>
        <v>#N/A</v>
      </c>
      <c r="P30" s="11" t="s">
        <v>204</v>
      </c>
      <c r="Y30" s="32"/>
      <c r="AC30" s="7"/>
      <c r="AD30" s="7"/>
    </row>
    <row r="31" spans="1:32" ht="11.25" customHeight="1" x14ac:dyDescent="0.15">
      <c r="A31" s="177"/>
      <c r="B31" s="3"/>
      <c r="P31" s="1" t="s">
        <v>167</v>
      </c>
      <c r="T31" s="2" t="s">
        <v>174</v>
      </c>
      <c r="X31" s="2" t="s">
        <v>613</v>
      </c>
      <c r="Y31" s="32"/>
      <c r="AC31" s="7"/>
      <c r="AD31" s="7"/>
      <c r="AE31" s="7"/>
      <c r="AF31" s="7"/>
    </row>
    <row r="32" spans="1:32" ht="11.25" customHeight="1" x14ac:dyDescent="0.15">
      <c r="A32" s="177"/>
      <c r="B32" s="3"/>
      <c r="I32" s="2" t="s">
        <v>603</v>
      </c>
      <c r="J32" s="157">
        <f>'Rechner Calulateur'!H22/Q79</f>
        <v>0</v>
      </c>
      <c r="P32" s="2" t="s">
        <v>168</v>
      </c>
      <c r="T32" s="2" t="b">
        <f t="array" aca="1" ref="T32" ca="1">OR(EXACT('Rechner Calulateur'!E25,INDIRECT(ADDRESS(Formeln_GRUD!U32+MATCH('Rechner Calulateur'!E25,C41:C49,0),2)&amp;":"&amp;ADDRESS(Formeln_GRUD!U32+MATCH('Rechner Calulateur'!E25,C41:C49,0),7))))</f>
        <v>1</v>
      </c>
      <c r="U32" s="2">
        <f>ROW(C40)</f>
        <v>40</v>
      </c>
      <c r="X32" s="2" t="str">
        <f>ADDRESS(Formeln_GRUD!U32+MATCH('Rechner Calulateur'!E25,C41:C49,0),2)</f>
        <v>$B$41</v>
      </c>
      <c r="Y32" s="32">
        <f>MATCH('Rechner Calulateur'!E25,C41:C49,0)</f>
        <v>1</v>
      </c>
      <c r="AC32" s="7"/>
      <c r="AD32" s="7"/>
      <c r="AE32" s="7"/>
      <c r="AF32" s="7"/>
    </row>
    <row r="33" spans="1:32" ht="11.25" customHeight="1" x14ac:dyDescent="0.15">
      <c r="A33" s="177"/>
      <c r="I33" s="2" t="s">
        <v>592</v>
      </c>
      <c r="J33" s="2" t="e">
        <f>(J30*(J32*J32)/100+K30*J32/10+L30)*Q79</f>
        <v>#N/A</v>
      </c>
      <c r="P33" s="3" t="s">
        <v>169</v>
      </c>
      <c r="T33" s="2" t="b">
        <f t="array" aca="1" ref="T33" ca="1">OR(EXACT('Rechner Calulateur'!E26,INDIRECT(ADDRESS(Formeln_GRUD!U32+MATCH('Rechner Calulateur'!E25,C41:C49,0),2)&amp;":"&amp;ADDRESS(Formeln_GRUD!U32+MATCH('Rechner Calulateur'!E25,C41:C49,0),7))))</f>
        <v>1</v>
      </c>
      <c r="Y33" s="32"/>
      <c r="AC33" s="7"/>
      <c r="AD33" s="7"/>
      <c r="AE33" s="7"/>
      <c r="AF33" s="7"/>
    </row>
    <row r="34" spans="1:32" ht="11.25" customHeight="1" x14ac:dyDescent="0.15">
      <c r="A34" s="177"/>
      <c r="B34" s="3"/>
      <c r="C34" s="2" t="e">
        <f>VLOOKUP(E26,Formeln_GRUD!E55:G74,3,FALSE)</f>
        <v>#N/A</v>
      </c>
      <c r="X34" s="2" t="s">
        <v>347</v>
      </c>
      <c r="Y34" s="32"/>
      <c r="AC34" s="3"/>
      <c r="AD34" s="7"/>
      <c r="AE34" s="7"/>
      <c r="AF34" s="7"/>
    </row>
    <row r="35" spans="1:32" ht="11.25" customHeight="1" x14ac:dyDescent="0.15">
      <c r="A35" s="177"/>
      <c r="B35" s="3"/>
      <c r="P35" s="33" t="s">
        <v>170</v>
      </c>
      <c r="T35" s="1" t="b">
        <f t="array" ref="T35">IF(OR('Rechner Calulateur'!E25=Formeln_GRUD!C41,'Rechner Calulateur'!E26=Formeln_GRUD!C41,,'Rechner Calulateur'!E27=Formeln_GRUD!C41,,'Rechner Calulateur'!E28=Formeln_GRUD!C41), FALSE,AND(T32,T33))</f>
        <v>0</v>
      </c>
      <c r="U35" s="2" t="s">
        <v>178</v>
      </c>
      <c r="Y35" s="32"/>
      <c r="AC35" s="7"/>
      <c r="AD35" s="7"/>
    </row>
    <row r="36" spans="1:32" ht="11.25" customHeight="1" x14ac:dyDescent="0.15">
      <c r="A36" s="177"/>
      <c r="B36" s="3"/>
      <c r="P36" s="55" t="s">
        <v>356</v>
      </c>
      <c r="Q36" s="56"/>
      <c r="R36" s="56"/>
      <c r="S36" s="56"/>
      <c r="T36" s="56" t="b">
        <f>IF(X37=TRUE,FALSE,AND(T35,S47))</f>
        <v>0</v>
      </c>
      <c r="U36" s="2" t="s">
        <v>355</v>
      </c>
      <c r="X36" s="2" t="b">
        <f t="array" ref="X36">_xlfn.XOR(T35,T36)</f>
        <v>0</v>
      </c>
      <c r="Y36" s="32"/>
      <c r="AC36" s="7"/>
      <c r="AD36" s="7"/>
      <c r="AE36" s="7"/>
      <c r="AF36" s="7"/>
    </row>
    <row r="37" spans="1:32" ht="11.25" customHeight="1" x14ac:dyDescent="0.15">
      <c r="A37" s="177"/>
      <c r="B37" s="3"/>
      <c r="P37" s="33" t="s">
        <v>171</v>
      </c>
      <c r="T37" s="2" t="b">
        <f t="array" aca="1" ref="T37" ca="1">AND(OR(EXACT('Rechner Calulateur'!E25,INDIRECT(ADDRESS(Formeln_GRUD!U32+MATCH('Rechner Calulateur'!E25,C41:C49,0),2)&amp;":"&amp;ADDRESS(Formeln_GRUD!U32+MATCH('Rechner Calulateur'!E25,C41:C49,0),7)))),OR(EXACT('Rechner Calulateur'!E26,INDIRECT(ADDRESS(Formeln_GRUD!U32+MATCH('Rechner Calulateur'!E25,C41:C49,0),2)&amp;":"&amp;ADDRESS(Formeln_GRUD!U32+MATCH('Rechner Calulateur'!E25,C41:C49,0),7)))))</f>
        <v>1</v>
      </c>
      <c r="U37" s="2" t="s">
        <v>354</v>
      </c>
      <c r="X37" s="2" t="b">
        <f t="array" ref="X37">ISERROR(T35)</f>
        <v>0</v>
      </c>
      <c r="Y37" s="32"/>
      <c r="AC37" s="7"/>
      <c r="AD37" s="7"/>
      <c r="AE37" s="7"/>
      <c r="AF37" s="7"/>
    </row>
    <row r="38" spans="1:32" ht="11.25" customHeight="1" x14ac:dyDescent="0.15">
      <c r="A38" s="31"/>
      <c r="B38" s="33" t="s">
        <v>207</v>
      </c>
      <c r="C38" s="1"/>
      <c r="Y38" s="32"/>
      <c r="AC38" s="7"/>
      <c r="AD38" s="7"/>
      <c r="AE38" s="7"/>
      <c r="AF38" s="7"/>
    </row>
    <row r="39" spans="1:32" ht="11.25" customHeight="1" x14ac:dyDescent="0.15">
      <c r="A39" s="31"/>
      <c r="C39" s="1"/>
      <c r="P39" s="109" t="str">
        <f>IF(Formeln_GRUD!T36=TRUE,"Gültige Konbination",Texte!$A$136)</f>
        <v>Ungültige Kombination</v>
      </c>
      <c r="T39" s="2" t="b">
        <f t="array" ref="T39">OR(EXACT('Rechner Calulateur'!E25,C41:C49))</f>
        <v>1</v>
      </c>
      <c r="Y39" s="32"/>
      <c r="AC39" s="7"/>
      <c r="AD39" s="7"/>
      <c r="AE39" s="7"/>
      <c r="AF39" s="7"/>
    </row>
    <row r="40" spans="1:32" ht="11.25" customHeight="1" x14ac:dyDescent="0.15">
      <c r="A40" s="31"/>
      <c r="B40" s="4" t="s">
        <v>71</v>
      </c>
      <c r="C40" s="4" t="s">
        <v>18</v>
      </c>
      <c r="D40" s="2" t="s">
        <v>519</v>
      </c>
      <c r="I40" s="2" t="s">
        <v>531</v>
      </c>
      <c r="Y40" s="32"/>
      <c r="AC40" s="3"/>
      <c r="AD40" s="7"/>
    </row>
    <row r="41" spans="1:32" ht="11.25" customHeight="1" x14ac:dyDescent="0.15">
      <c r="A41" s="31"/>
      <c r="C41" s="39" t="str">
        <f>Texte!$A108</f>
        <v>Keine Auswahl</v>
      </c>
      <c r="D41" s="40" t="str">
        <f>E55</f>
        <v>Keine Auswahl</v>
      </c>
      <c r="E41" s="40"/>
      <c r="F41" s="40"/>
      <c r="G41" s="40"/>
      <c r="H41" s="41">
        <v>0</v>
      </c>
      <c r="I41" s="42">
        <v>1</v>
      </c>
      <c r="Y41" s="32"/>
      <c r="AC41" s="7"/>
      <c r="AD41" s="7"/>
      <c r="AE41" s="7"/>
      <c r="AF41" s="3"/>
    </row>
    <row r="42" spans="1:32" ht="11.25" customHeight="1" x14ac:dyDescent="0.15">
      <c r="A42" s="31"/>
      <c r="B42" s="4"/>
      <c r="C42" s="43" t="str">
        <f>Texte!$A109</f>
        <v>Kühe/Rindviehaufzucht</v>
      </c>
      <c r="D42" s="35" t="str">
        <f>E56</f>
        <v>Vollgülle</v>
      </c>
      <c r="E42" s="35" t="str">
        <f>E57</f>
        <v>Gülle Kotarm</v>
      </c>
      <c r="F42" s="35" t="str">
        <f>E58</f>
        <v>Stapelmist</v>
      </c>
      <c r="G42" s="35" t="str">
        <f>E59</f>
        <v>Laufstallmist</v>
      </c>
      <c r="H42" s="2">
        <v>1</v>
      </c>
      <c r="I42" s="44">
        <v>4</v>
      </c>
      <c r="P42" s="1" t="s">
        <v>348</v>
      </c>
      <c r="S42" s="2" t="b">
        <f t="array" ref="S42">OR(OR(EXACT('Rechner Calulateur'!E25,C41:G49)))</f>
        <v>1</v>
      </c>
      <c r="T42" s="2" t="s">
        <v>350</v>
      </c>
      <c r="Y42" s="32"/>
      <c r="AC42" s="7"/>
      <c r="AD42" s="7"/>
      <c r="AE42" s="7"/>
      <c r="AF42" s="7"/>
    </row>
    <row r="43" spans="1:32" ht="11.25" customHeight="1" x14ac:dyDescent="0.15">
      <c r="A43" s="31"/>
      <c r="B43" s="4"/>
      <c r="C43" s="43" t="str">
        <f>Texte!$A110</f>
        <v>Rindviehmast</v>
      </c>
      <c r="D43" s="35" t="str">
        <f>E61</f>
        <v>Vollgülle</v>
      </c>
      <c r="E43" s="35" t="str">
        <f>E62</f>
        <v>Laufstallmist</v>
      </c>
      <c r="F43" s="35"/>
      <c r="G43" s="35"/>
      <c r="H43" s="2">
        <v>2</v>
      </c>
      <c r="I43" s="44">
        <v>2</v>
      </c>
      <c r="S43" s="2" t="b">
        <f t="array" ref="S43">OR(EXACT('Rechner Calulateur'!E26,D41:G49))</f>
        <v>1</v>
      </c>
      <c r="T43" s="2" t="s">
        <v>349</v>
      </c>
      <c r="Y43" s="32"/>
      <c r="AC43" s="7"/>
      <c r="AD43" s="7"/>
      <c r="AE43" s="7"/>
      <c r="AF43" s="7"/>
    </row>
    <row r="44" spans="1:32" ht="11.25" customHeight="1" x14ac:dyDescent="0.15">
      <c r="A44" s="31"/>
      <c r="B44" s="4"/>
      <c r="C44" s="43" t="str">
        <f>Texte!$A111</f>
        <v>Kälber</v>
      </c>
      <c r="D44" s="35" t="str">
        <f>E60</f>
        <v>Kälbermist</v>
      </c>
      <c r="E44" s="35"/>
      <c r="F44" s="35"/>
      <c r="G44" s="35"/>
      <c r="H44" s="2">
        <v>3</v>
      </c>
      <c r="I44" s="44">
        <v>1</v>
      </c>
      <c r="S44" s="2" t="b">
        <f t="array" ref="S44">OR(EXACT('Rechner Calulateur'!E27,S27:S29))</f>
        <v>1</v>
      </c>
      <c r="T44" s="2" t="s">
        <v>351</v>
      </c>
      <c r="Y44" s="32"/>
      <c r="AC44" s="7"/>
      <c r="AD44" s="7"/>
      <c r="AE44" s="7"/>
      <c r="AF44" s="7"/>
    </row>
    <row r="45" spans="1:32" ht="11.25" customHeight="1" x14ac:dyDescent="0.15">
      <c r="A45" s="31"/>
      <c r="B45" s="4"/>
      <c r="C45" s="43" t="str">
        <f>Texte!$A112</f>
        <v>Pferde</v>
      </c>
      <c r="D45" s="35" t="str">
        <f>E63</f>
        <v>Pferdemist Frisch</v>
      </c>
      <c r="E45" s="35" t="str">
        <f>E64</f>
        <v>Pferdemist</v>
      </c>
      <c r="F45" s="35"/>
      <c r="G45" s="35"/>
      <c r="H45" s="2">
        <v>4</v>
      </c>
      <c r="I45" s="45">
        <v>2</v>
      </c>
      <c r="S45" s="2" t="b">
        <f t="array" ref="S45">OR(EXACT('Rechner Calulateur'!E28,S27:S29))</f>
        <v>1</v>
      </c>
      <c r="T45" s="2" t="s">
        <v>515</v>
      </c>
      <c r="Y45" s="32"/>
      <c r="AC45" s="7"/>
      <c r="AD45" s="7"/>
    </row>
    <row r="46" spans="1:32" ht="11.25" customHeight="1" x14ac:dyDescent="0.15">
      <c r="A46" s="31"/>
      <c r="B46" s="4"/>
      <c r="C46" s="43" t="str">
        <f>Texte!$A113</f>
        <v>Schafe/Ziegen</v>
      </c>
      <c r="D46" s="35" t="str">
        <f>E65</f>
        <v>Schaf-/Ziegenmist</v>
      </c>
      <c r="E46" s="35"/>
      <c r="F46" s="35"/>
      <c r="G46" s="35"/>
      <c r="H46" s="2">
        <v>5</v>
      </c>
      <c r="I46" s="45">
        <v>1</v>
      </c>
      <c r="Y46" s="32"/>
      <c r="AC46" s="7"/>
      <c r="AD46" s="7"/>
      <c r="AE46" s="7"/>
      <c r="AF46" s="3"/>
    </row>
    <row r="47" spans="1:32" ht="11.25" customHeight="1" x14ac:dyDescent="0.15">
      <c r="A47" s="31"/>
      <c r="B47" s="4"/>
      <c r="C47" s="43" t="str">
        <f>Texte!$A114</f>
        <v>Schweine</v>
      </c>
      <c r="D47" s="35" t="str">
        <f>E66</f>
        <v>Schweinegülle Mast</v>
      </c>
      <c r="E47" s="35" t="str">
        <f>E67</f>
        <v>Schweinegülle Zucht</v>
      </c>
      <c r="F47" s="35" t="str">
        <f>E68</f>
        <v>Schweinemist</v>
      </c>
      <c r="G47" s="35"/>
      <c r="H47" s="2">
        <v>6</v>
      </c>
      <c r="I47" s="45">
        <v>3</v>
      </c>
      <c r="S47" s="2" t="b">
        <f>AND(S42:S45)</f>
        <v>1</v>
      </c>
      <c r="T47" s="33" t="s">
        <v>353</v>
      </c>
      <c r="Y47" s="32"/>
      <c r="AC47" s="7"/>
      <c r="AD47" s="7"/>
      <c r="AE47" s="7"/>
      <c r="AF47" s="7"/>
    </row>
    <row r="48" spans="1:32" ht="11.25" customHeight="1" x14ac:dyDescent="0.15">
      <c r="A48" s="31"/>
      <c r="B48" s="4"/>
      <c r="C48" s="43" t="str">
        <f>Texte!$A115</f>
        <v>Geflügel</v>
      </c>
      <c r="D48" s="35" t="str">
        <f>E69</f>
        <v>Hennen (Kotband)</v>
      </c>
      <c r="E48" s="35" t="str">
        <f>E70</f>
        <v>Hennen/Junghennenmist</v>
      </c>
      <c r="F48" s="35" t="str">
        <f>E71</f>
        <v>Pouletmist</v>
      </c>
      <c r="G48" s="35" t="str">
        <f>E72</f>
        <v>Trutenmist</v>
      </c>
      <c r="H48" s="2">
        <v>7</v>
      </c>
      <c r="I48" s="45">
        <v>4</v>
      </c>
      <c r="Y48" s="32"/>
      <c r="AC48" s="7"/>
      <c r="AD48" s="7"/>
      <c r="AE48" s="7"/>
      <c r="AF48" s="7"/>
    </row>
    <row r="49" spans="1:35" ht="11.25" customHeight="1" x14ac:dyDescent="0.15">
      <c r="A49" s="31"/>
      <c r="B49" s="4"/>
      <c r="C49" s="46" t="str">
        <f>Texte!$A116</f>
        <v>Biogasanlage</v>
      </c>
      <c r="D49" s="47" t="str">
        <f>E73</f>
        <v>Gärgülle</v>
      </c>
      <c r="E49" s="47" t="str">
        <f>E74</f>
        <v>Gärmist</v>
      </c>
      <c r="F49" s="2" t="s">
        <v>464</v>
      </c>
      <c r="G49" s="2" t="s">
        <v>190</v>
      </c>
      <c r="H49" s="48">
        <v>8</v>
      </c>
      <c r="I49" s="49">
        <v>2</v>
      </c>
      <c r="P49" s="1" t="s">
        <v>434</v>
      </c>
      <c r="Y49" s="32"/>
      <c r="AC49" s="3"/>
      <c r="AD49" s="7"/>
    </row>
    <row r="50" spans="1:35" ht="11.25" customHeight="1" x14ac:dyDescent="0.15">
      <c r="A50" s="31"/>
      <c r="D50" s="2" t="str">
        <f>Texte!A78</f>
        <v>Grüngut Kompost</v>
      </c>
      <c r="P50" s="157" t="str">
        <f>'Rechner Calulateur'!F21</f>
        <v>Verdünnung</v>
      </c>
      <c r="Q50" s="157" t="str">
        <f>'Rechner Calulateur'!H21</f>
        <v>TS</v>
      </c>
      <c r="R50" s="157" t="str">
        <f>'Rechner Calulateur'!I21</f>
        <v>Humus äq</v>
      </c>
      <c r="S50" s="157" t="str">
        <f>'Rechner Calulateur'!J21</f>
        <v>Nges</v>
      </c>
      <c r="T50" s="157" t="str">
        <f>'Rechner Calulateur'!K21</f>
        <v>Nverf</v>
      </c>
      <c r="U50" s="157" t="str">
        <f>'Rechner Calulateur'!L21</f>
        <v>P2O5</v>
      </c>
      <c r="V50" s="157" t="str">
        <f>'Rechner Calulateur'!M21</f>
        <v>K2O</v>
      </c>
      <c r="W50" s="157" t="str">
        <f>'Rechner Calulateur'!N21</f>
        <v>Mg</v>
      </c>
      <c r="X50" s="157" t="str">
        <f>'Rechner Calulateur'!O21</f>
        <v>Ca</v>
      </c>
      <c r="Y50" s="157"/>
      <c r="AD50" s="7"/>
      <c r="AE50" s="11"/>
      <c r="AF50" s="12"/>
      <c r="AG50" s="7"/>
      <c r="AH50" s="7"/>
      <c r="AI50" s="7"/>
    </row>
    <row r="51" spans="1:35" ht="11.25" customHeight="1" x14ac:dyDescent="0.15">
      <c r="A51" s="31"/>
      <c r="P51" s="157">
        <f>'Rechner Calulateur'!G22</f>
        <v>0</v>
      </c>
      <c r="Q51" s="157">
        <f>'Rechner Calulateur'!H22</f>
        <v>0</v>
      </c>
      <c r="R51" s="157" t="str">
        <f>'Rechner Calulateur'!I22</f>
        <v/>
      </c>
      <c r="S51" s="157">
        <f>'Rechner Calulateur'!J22</f>
        <v>0</v>
      </c>
      <c r="T51" s="157" t="str">
        <f>'Rechner Calulateur'!K22</f>
        <v/>
      </c>
      <c r="U51" s="157">
        <f>'Rechner Calulateur'!L22</f>
        <v>0</v>
      </c>
      <c r="V51" s="157">
        <f>'Rechner Calulateur'!M22</f>
        <v>0</v>
      </c>
      <c r="W51" s="157">
        <f>'Rechner Calulateur'!N22</f>
        <v>0</v>
      </c>
      <c r="X51" s="157">
        <f>'Rechner Calulateur'!O22</f>
        <v>0</v>
      </c>
      <c r="Y51" s="157"/>
      <c r="AC51" s="3"/>
      <c r="AD51" s="7"/>
      <c r="AE51" s="7"/>
      <c r="AF51" s="7"/>
      <c r="AG51" s="7"/>
    </row>
    <row r="52" spans="1:35" ht="11.25" customHeight="1" x14ac:dyDescent="0.15">
      <c r="A52" s="31"/>
      <c r="P52" s="2" t="b">
        <f t="shared" ref="P52:Q52" si="4">ISNUMBER(P51)</f>
        <v>1</v>
      </c>
      <c r="Q52" s="2" t="b">
        <f t="shared" si="4"/>
        <v>1</v>
      </c>
      <c r="R52" s="2" t="b">
        <f>ISNUMBER(R51)</f>
        <v>0</v>
      </c>
      <c r="S52" s="2" t="b">
        <f t="shared" ref="S52:X52" si="5">ISNUMBER(S51)</f>
        <v>1</v>
      </c>
      <c r="T52" s="2" t="b">
        <f t="shared" si="5"/>
        <v>0</v>
      </c>
      <c r="U52" s="2" t="b">
        <f t="shared" si="5"/>
        <v>1</v>
      </c>
      <c r="V52" s="2" t="b">
        <f t="shared" si="5"/>
        <v>1</v>
      </c>
      <c r="W52" s="2" t="b">
        <f t="shared" si="5"/>
        <v>1</v>
      </c>
      <c r="X52" s="2" t="b">
        <f t="shared" si="5"/>
        <v>1</v>
      </c>
      <c r="Y52" s="32"/>
      <c r="AC52" s="3"/>
      <c r="AD52" s="7"/>
      <c r="AE52" s="7"/>
      <c r="AF52" s="7"/>
      <c r="AG52" s="7"/>
    </row>
    <row r="53" spans="1:35" ht="11.25" customHeight="1" x14ac:dyDescent="0.15">
      <c r="A53" s="31"/>
      <c r="B53" s="2" t="s">
        <v>72</v>
      </c>
      <c r="P53" s="2" t="s">
        <v>435</v>
      </c>
      <c r="Q53" s="2" t="b">
        <f>AND(P52,Q52,S52,U52,V52,W52,X52)</f>
        <v>1</v>
      </c>
      <c r="Y53" s="32"/>
      <c r="AC53" s="7"/>
      <c r="AD53" s="7"/>
      <c r="AE53" s="7"/>
      <c r="AF53" s="7"/>
      <c r="AG53" s="7"/>
    </row>
    <row r="54" spans="1:35" ht="11.25" customHeight="1" x14ac:dyDescent="0.15">
      <c r="A54" s="31"/>
      <c r="C54" s="4" t="s">
        <v>520</v>
      </c>
      <c r="D54" s="2" t="s">
        <v>521</v>
      </c>
      <c r="E54" s="2" t="s">
        <v>519</v>
      </c>
      <c r="F54" s="3" t="s">
        <v>590</v>
      </c>
      <c r="G54" s="3" t="s">
        <v>591</v>
      </c>
      <c r="H54" s="2" t="s">
        <v>522</v>
      </c>
      <c r="I54" s="2" t="s">
        <v>487</v>
      </c>
      <c r="J54" s="2" t="s">
        <v>523</v>
      </c>
      <c r="K54" s="3" t="s">
        <v>584</v>
      </c>
      <c r="Y54" s="32"/>
      <c r="AE54" s="7"/>
      <c r="AH54" s="7"/>
      <c r="AI54" s="7"/>
    </row>
    <row r="55" spans="1:35" ht="11.25" customHeight="1" x14ac:dyDescent="0.15">
      <c r="A55" s="31"/>
      <c r="C55" s="50"/>
      <c r="D55" s="41"/>
      <c r="E55" s="40" t="str">
        <f>Texte!$A108</f>
        <v>Keine Auswahl</v>
      </c>
      <c r="F55" s="41"/>
      <c r="G55" s="42">
        <v>1</v>
      </c>
      <c r="Y55" s="32"/>
      <c r="AC55" s="7"/>
      <c r="AD55" s="7"/>
      <c r="AG55" s="7"/>
      <c r="AH55" s="7"/>
      <c r="AI55" s="7"/>
    </row>
    <row r="56" spans="1:35" ht="11.25" customHeight="1" x14ac:dyDescent="0.15">
      <c r="A56" s="31"/>
      <c r="C56" s="51" t="str">
        <f>Texte!$A$109</f>
        <v>Kühe/Rindviehaufzucht</v>
      </c>
      <c r="D56" s="2">
        <v>3</v>
      </c>
      <c r="E56" s="2" t="str">
        <f>Texte!$A117</f>
        <v>Vollgülle</v>
      </c>
      <c r="F56" s="2">
        <v>0</v>
      </c>
      <c r="G56" s="44">
        <v>0</v>
      </c>
      <c r="H56" s="3" t="s">
        <v>455</v>
      </c>
      <c r="I56" s="3">
        <v>50</v>
      </c>
      <c r="J56" s="3">
        <v>24</v>
      </c>
      <c r="K56" s="3" t="s">
        <v>585</v>
      </c>
      <c r="L56" s="3"/>
      <c r="M56" s="3"/>
      <c r="N56" s="3"/>
      <c r="O56" s="3"/>
      <c r="Y56" s="32"/>
      <c r="AC56" s="7"/>
      <c r="AD56" s="7"/>
      <c r="AG56" s="7"/>
      <c r="AH56" s="7"/>
      <c r="AI56" s="7"/>
    </row>
    <row r="57" spans="1:35" ht="11.25" customHeight="1" x14ac:dyDescent="0.15">
      <c r="A57" s="31"/>
      <c r="C57" s="51"/>
      <c r="D57" s="2">
        <v>4</v>
      </c>
      <c r="E57" s="2" t="str">
        <f>Texte!$A118</f>
        <v>Gülle Kotarm</v>
      </c>
      <c r="F57" s="2">
        <v>1</v>
      </c>
      <c r="G57" s="44">
        <v>0</v>
      </c>
      <c r="H57" s="3" t="s">
        <v>455</v>
      </c>
      <c r="I57" s="3">
        <v>50</v>
      </c>
      <c r="J57" s="3">
        <v>24</v>
      </c>
      <c r="K57" s="3" t="s">
        <v>585</v>
      </c>
      <c r="L57" s="3"/>
      <c r="M57" s="3"/>
      <c r="N57" s="3"/>
      <c r="O57" s="3"/>
      <c r="Q57" s="56"/>
      <c r="R57" s="56"/>
      <c r="S57" s="56"/>
      <c r="T57" s="56"/>
      <c r="U57" s="56"/>
      <c r="Y57" s="32"/>
      <c r="AC57" s="7"/>
      <c r="AD57" s="7"/>
      <c r="AE57" s="7"/>
      <c r="AF57" s="7"/>
      <c r="AG57" s="7"/>
      <c r="AH57" s="7"/>
      <c r="AI57" s="7"/>
    </row>
    <row r="58" spans="1:35" ht="11.25" customHeight="1" x14ac:dyDescent="0.15">
      <c r="A58" s="31"/>
      <c r="C58" s="51"/>
      <c r="D58" s="2">
        <v>5</v>
      </c>
      <c r="E58" s="2" t="str">
        <f>Texte!$A119</f>
        <v>Stapelmist</v>
      </c>
      <c r="F58" s="2">
        <v>2</v>
      </c>
      <c r="G58" s="44">
        <v>1</v>
      </c>
      <c r="H58" s="3" t="s">
        <v>454</v>
      </c>
      <c r="I58" s="3"/>
      <c r="K58" s="2" t="s">
        <v>454</v>
      </c>
      <c r="Y58" s="32"/>
      <c r="AC58" s="7"/>
      <c r="AD58" s="7"/>
      <c r="AE58" s="7"/>
      <c r="AF58" s="7"/>
      <c r="AG58" s="7"/>
      <c r="AH58" s="3"/>
      <c r="AI58" s="3"/>
    </row>
    <row r="59" spans="1:35" ht="11.25" customHeight="1" x14ac:dyDescent="0.15">
      <c r="A59" s="31"/>
      <c r="C59" s="51"/>
      <c r="D59" s="2">
        <v>6</v>
      </c>
      <c r="E59" s="2" t="str">
        <f>Texte!$A120</f>
        <v>Laufstallmist</v>
      </c>
      <c r="F59" s="2">
        <v>3</v>
      </c>
      <c r="G59" s="45">
        <v>1</v>
      </c>
      <c r="H59" s="3" t="s">
        <v>454</v>
      </c>
      <c r="I59" s="3"/>
      <c r="K59" s="2" t="s">
        <v>454</v>
      </c>
      <c r="Y59" s="32"/>
      <c r="AC59" s="7"/>
      <c r="AD59" s="7"/>
      <c r="AG59" s="7"/>
      <c r="AH59" s="3"/>
      <c r="AI59" s="3"/>
    </row>
    <row r="60" spans="1:35" ht="11.25" customHeight="1" x14ac:dyDescent="0.15">
      <c r="A60" s="31"/>
      <c r="C60" s="51" t="str">
        <f>Texte!$A$111</f>
        <v>Kälber</v>
      </c>
      <c r="D60" s="2">
        <v>7</v>
      </c>
      <c r="E60" s="2" t="str">
        <f>Texte!$A121</f>
        <v>Kälbermist</v>
      </c>
      <c r="F60" s="3">
        <v>0</v>
      </c>
      <c r="G60" s="45">
        <v>1</v>
      </c>
      <c r="H60" s="3" t="s">
        <v>454</v>
      </c>
      <c r="I60" s="3"/>
      <c r="K60" s="2" t="s">
        <v>454</v>
      </c>
      <c r="P60" s="1"/>
      <c r="Y60" s="32"/>
      <c r="AC60" s="7"/>
      <c r="AD60" s="7"/>
      <c r="AE60" s="7"/>
      <c r="AF60" s="7"/>
      <c r="AG60" s="7"/>
      <c r="AH60" s="7"/>
      <c r="AI60" s="7"/>
    </row>
    <row r="61" spans="1:35" ht="11.25" customHeight="1" x14ac:dyDescent="0.15">
      <c r="A61" s="31"/>
      <c r="C61" s="51" t="str">
        <f>Texte!$A$110</f>
        <v>Rindviehmast</v>
      </c>
      <c r="D61" s="2">
        <v>8</v>
      </c>
      <c r="E61" s="2" t="str">
        <f>Texte!$A122</f>
        <v>Vollgülle</v>
      </c>
      <c r="F61" s="3">
        <v>0</v>
      </c>
      <c r="G61" s="45">
        <v>0</v>
      </c>
      <c r="H61" s="3" t="s">
        <v>455</v>
      </c>
      <c r="I61" s="3"/>
      <c r="K61" s="2" t="s">
        <v>585</v>
      </c>
      <c r="Y61" s="32"/>
      <c r="AB61" s="7"/>
      <c r="AC61" s="7"/>
      <c r="AD61" s="7"/>
      <c r="AE61" s="3"/>
      <c r="AF61" s="3"/>
    </row>
    <row r="62" spans="1:35" ht="11.25" customHeight="1" x14ac:dyDescent="0.15">
      <c r="A62" s="31"/>
      <c r="C62" s="51"/>
      <c r="D62" s="2">
        <v>9</v>
      </c>
      <c r="E62" s="2" t="str">
        <f>Texte!$A123</f>
        <v>Laufstallmist</v>
      </c>
      <c r="F62" s="3">
        <v>1</v>
      </c>
      <c r="G62" s="45">
        <v>1</v>
      </c>
      <c r="H62" s="3" t="s">
        <v>454</v>
      </c>
      <c r="I62" s="3"/>
      <c r="J62" s="3"/>
      <c r="K62" s="2" t="s">
        <v>454</v>
      </c>
      <c r="L62" s="3"/>
      <c r="M62" s="3"/>
      <c r="N62" s="3"/>
      <c r="O62" s="3"/>
      <c r="P62" s="3"/>
      <c r="Y62" s="32"/>
      <c r="AB62" s="7"/>
      <c r="AC62" s="7"/>
      <c r="AD62" s="7"/>
      <c r="AE62" s="3"/>
      <c r="AF62" s="3"/>
    </row>
    <row r="63" spans="1:35" ht="11.25" customHeight="1" x14ac:dyDescent="0.15">
      <c r="A63" s="31"/>
      <c r="C63" s="51" t="str">
        <f>Texte!$A$112</f>
        <v>Pferde</v>
      </c>
      <c r="D63" s="2">
        <v>10</v>
      </c>
      <c r="E63" s="2" t="str">
        <f>Texte!$A124</f>
        <v>Pferdemist Frisch</v>
      </c>
      <c r="F63" s="3">
        <v>0</v>
      </c>
      <c r="G63" s="45">
        <v>1</v>
      </c>
      <c r="H63" s="3"/>
      <c r="I63" s="3"/>
      <c r="J63" s="3"/>
      <c r="K63" s="2" t="s">
        <v>454</v>
      </c>
      <c r="L63" s="3"/>
      <c r="M63" s="3"/>
      <c r="N63" s="3"/>
      <c r="O63" s="3"/>
      <c r="P63" s="57" t="s">
        <v>173</v>
      </c>
      <c r="Y63" s="32"/>
      <c r="AC63" s="7"/>
      <c r="AD63" s="7"/>
      <c r="AE63" s="7"/>
      <c r="AF63" s="7"/>
      <c r="AG63" s="7"/>
      <c r="AH63" s="7"/>
    </row>
    <row r="64" spans="1:35" ht="11.25" customHeight="1" x14ac:dyDescent="0.15">
      <c r="A64" s="31"/>
      <c r="C64" s="51"/>
      <c r="D64" s="2">
        <v>11</v>
      </c>
      <c r="E64" s="2" t="str">
        <f>Texte!$A125</f>
        <v>Pferdemist</v>
      </c>
      <c r="F64" s="3">
        <v>1</v>
      </c>
      <c r="G64" s="45">
        <v>1</v>
      </c>
      <c r="H64" s="3"/>
      <c r="I64" s="3"/>
      <c r="J64" s="3"/>
      <c r="K64" s="2" t="s">
        <v>454</v>
      </c>
      <c r="L64" s="3"/>
      <c r="M64" s="3"/>
      <c r="N64" s="3"/>
      <c r="O64" s="3"/>
      <c r="P64" s="33" t="s">
        <v>525</v>
      </c>
      <c r="R64" s="2" t="s">
        <v>526</v>
      </c>
      <c r="T64" s="2" t="str">
        <f>'Rechner Calulateur'!E25</f>
        <v>Keine Auswahl</v>
      </c>
      <c r="Y64" s="32"/>
      <c r="AC64" s="7"/>
      <c r="AD64" s="7"/>
      <c r="AG64" s="7"/>
      <c r="AH64" s="7"/>
    </row>
    <row r="65" spans="1:35" ht="11.25" customHeight="1" x14ac:dyDescent="0.15">
      <c r="A65" s="31"/>
      <c r="C65" s="51" t="str">
        <f>Texte!$A$113</f>
        <v>Schafe/Ziegen</v>
      </c>
      <c r="D65" s="2">
        <v>12</v>
      </c>
      <c r="E65" s="2" t="str">
        <f>Texte!$A126</f>
        <v>Schaf-/Ziegenmist</v>
      </c>
      <c r="F65" s="3">
        <v>0</v>
      </c>
      <c r="G65" s="45">
        <v>1</v>
      </c>
      <c r="H65" s="3" t="s">
        <v>454</v>
      </c>
      <c r="I65" s="3"/>
      <c r="J65" s="3"/>
      <c r="K65" s="2" t="s">
        <v>454</v>
      </c>
      <c r="L65" s="3"/>
      <c r="M65" s="3"/>
      <c r="N65" s="3"/>
      <c r="O65" s="3"/>
      <c r="P65" s="3"/>
      <c r="R65" s="2" t="s">
        <v>528</v>
      </c>
      <c r="T65" s="2">
        <f>VLOOKUP('Rechner Calulateur'!E25,Formeln_GRUD!$C$41:$I$49,7,0)</f>
        <v>1</v>
      </c>
      <c r="Y65" s="32"/>
      <c r="AC65" s="7"/>
      <c r="AD65" s="7"/>
      <c r="AG65" s="7"/>
      <c r="AH65" s="7"/>
      <c r="AI65" s="7"/>
    </row>
    <row r="66" spans="1:35" ht="11.25" customHeight="1" x14ac:dyDescent="0.15">
      <c r="A66" s="31"/>
      <c r="C66" s="51" t="str">
        <f>Texte!$A$114</f>
        <v>Schweine</v>
      </c>
      <c r="D66" s="2">
        <v>13</v>
      </c>
      <c r="E66" s="2" t="str">
        <f>Texte!$A127</f>
        <v>Schweinegülle Mast</v>
      </c>
      <c r="F66" s="3">
        <v>0</v>
      </c>
      <c r="G66" s="45">
        <v>0</v>
      </c>
      <c r="H66" s="3" t="s">
        <v>455</v>
      </c>
      <c r="I66" s="3">
        <v>35</v>
      </c>
      <c r="J66" s="3">
        <v>17</v>
      </c>
      <c r="K66" s="2" t="s">
        <v>91</v>
      </c>
      <c r="L66" s="3"/>
      <c r="M66" s="3"/>
      <c r="N66" s="3"/>
      <c r="O66" s="3"/>
      <c r="P66" s="3"/>
      <c r="R66" s="2" t="s">
        <v>527</v>
      </c>
      <c r="T66" s="2" t="str">
        <f>VLOOKUP(T64,C41:G49,2,0)</f>
        <v>Keine Auswahl</v>
      </c>
      <c r="U66" s="2">
        <f>VLOOKUP(T64,C41:G49,3,0)</f>
        <v>0</v>
      </c>
      <c r="V66" s="2">
        <f>VLOOKUP(T64,C41:G49,4,0)</f>
        <v>0</v>
      </c>
      <c r="W66" s="2">
        <f>VLOOKUP(T64,C41:G49,5,0)</f>
        <v>0</v>
      </c>
      <c r="Y66" s="32"/>
      <c r="AC66" s="7"/>
      <c r="AD66" s="7"/>
      <c r="AG66" s="7"/>
      <c r="AH66" s="7"/>
      <c r="AI66" s="7"/>
    </row>
    <row r="67" spans="1:35" ht="11.25" customHeight="1" x14ac:dyDescent="0.15">
      <c r="A67" s="31"/>
      <c r="C67" s="51"/>
      <c r="D67" s="2">
        <v>14</v>
      </c>
      <c r="E67" s="2" t="str">
        <f>Texte!$A128</f>
        <v>Schweinegülle Zucht</v>
      </c>
      <c r="F67" s="3">
        <v>1</v>
      </c>
      <c r="G67" s="45">
        <v>0</v>
      </c>
      <c r="H67" s="3" t="s">
        <v>455</v>
      </c>
      <c r="I67" s="3">
        <v>35</v>
      </c>
      <c r="J67" s="3">
        <v>17</v>
      </c>
      <c r="K67" s="2" t="s">
        <v>91</v>
      </c>
      <c r="L67" s="3"/>
      <c r="M67" s="3"/>
      <c r="N67" s="3"/>
      <c r="O67" s="3"/>
      <c r="P67" s="3"/>
      <c r="Y67" s="32"/>
      <c r="AC67" s="7"/>
      <c r="AD67" s="7"/>
      <c r="AE67" s="7"/>
      <c r="AF67" s="7"/>
      <c r="AG67" s="7"/>
      <c r="AH67" s="3"/>
      <c r="AI67" s="7"/>
    </row>
    <row r="68" spans="1:35" ht="11.25" customHeight="1" x14ac:dyDescent="0.15">
      <c r="A68" s="31"/>
      <c r="C68" s="51"/>
      <c r="D68" s="2">
        <v>15</v>
      </c>
      <c r="E68" s="2" t="str">
        <f>Texte!$A129</f>
        <v>Schweinemist</v>
      </c>
      <c r="F68" s="3">
        <v>2</v>
      </c>
      <c r="G68" s="45">
        <v>1</v>
      </c>
      <c r="H68" s="3" t="s">
        <v>454</v>
      </c>
      <c r="I68" s="3"/>
      <c r="J68" s="3"/>
      <c r="K68" s="2" t="s">
        <v>454</v>
      </c>
      <c r="L68" s="3"/>
      <c r="M68" s="3"/>
      <c r="N68" s="3"/>
      <c r="O68" s="3"/>
      <c r="P68" s="3"/>
      <c r="R68" s="3" t="s">
        <v>529</v>
      </c>
      <c r="T68" s="2" t="str">
        <f ca="1">OFFSET(Formeln_GRUD!T66,0,0,1,Formeln_GRUD!T65)</f>
        <v>Keine Auswahl</v>
      </c>
      <c r="U68" s="2" t="str">
        <f ca="1">_xlfn.FORMULATEXT(T68)</f>
        <v>=BEREICH.VERSCHIEBEN(Formeln_GRUD!T66;0;0;1;Formeln_GRUD!T65)</v>
      </c>
      <c r="Y68" s="32"/>
      <c r="AC68" s="7"/>
      <c r="AD68" s="7"/>
      <c r="AE68" s="7"/>
      <c r="AF68" s="7"/>
    </row>
    <row r="69" spans="1:35" ht="11.25" customHeight="1" x14ac:dyDescent="0.15">
      <c r="A69" s="31"/>
      <c r="C69" s="51" t="str">
        <f>Texte!$A$115</f>
        <v>Geflügel</v>
      </c>
      <c r="D69" s="2">
        <v>16</v>
      </c>
      <c r="E69" s="2" t="str">
        <f>Texte!$A130</f>
        <v>Hennen (Kotband)</v>
      </c>
      <c r="F69" s="3">
        <v>0</v>
      </c>
      <c r="G69" s="45">
        <v>1</v>
      </c>
      <c r="H69" s="3"/>
      <c r="I69" s="3"/>
      <c r="J69" s="3"/>
      <c r="K69" s="2" t="s">
        <v>586</v>
      </c>
      <c r="L69" s="3"/>
      <c r="M69" s="3"/>
      <c r="N69" s="3"/>
      <c r="O69" s="3"/>
      <c r="P69" s="3"/>
      <c r="W69" s="7"/>
      <c r="X69" s="7"/>
      <c r="AC69" s="3"/>
      <c r="AD69" s="7"/>
      <c r="AE69" s="7"/>
      <c r="AF69" s="7"/>
    </row>
    <row r="70" spans="1:35" ht="11.25" customHeight="1" x14ac:dyDescent="0.15">
      <c r="A70" s="31"/>
      <c r="C70" s="51"/>
      <c r="D70" s="2">
        <v>17</v>
      </c>
      <c r="E70" s="2" t="str">
        <f>Texte!$A131</f>
        <v>Hennen/Junghennenmist</v>
      </c>
      <c r="F70" s="3">
        <v>1</v>
      </c>
      <c r="G70" s="45">
        <v>1</v>
      </c>
      <c r="H70" s="3"/>
      <c r="I70" s="3"/>
      <c r="J70" s="3"/>
      <c r="K70" s="2" t="s">
        <v>586</v>
      </c>
      <c r="L70" s="3"/>
      <c r="M70" s="3"/>
      <c r="N70" s="3"/>
      <c r="O70" s="3"/>
      <c r="P70" s="3"/>
      <c r="R70" s="3" t="s">
        <v>530</v>
      </c>
      <c r="T70" s="2" t="str">
        <f ca="1">INDIRECT(ADDRESS(ROW(Formeln_GRUD!T66),COLUMN(Formeln_GRUD!T66),,,"Formeln_GRUD")&amp;":"&amp;ADDRESS(ROW(Formeln_GRUD!T66),COLUMN(Formeln_GRUD!T66)+Formeln_GRUD!T65-1,,,))</f>
        <v>Keine Auswahl</v>
      </c>
      <c r="U70" s="2" t="str">
        <f t="shared" ref="U70" ca="1" si="6">_xlfn.FORMULATEXT(T70)</f>
        <v>=INDIREKT(ADRESSE(ZEILE(Formeln_GRUD!T66);SPALTE(Formeln_GRUD!T66);;;"Formeln_GRUD")&amp;":"&amp;ADRESSE(ZEILE(Formeln_GRUD!T66);SPALTE(Formeln_GRUD!T66)+Formeln_GRUD!T65-1;;;))</v>
      </c>
      <c r="W70" s="7"/>
      <c r="X70" s="7"/>
      <c r="AC70" s="7"/>
      <c r="AD70" s="7"/>
      <c r="AE70" s="7"/>
      <c r="AF70" s="7"/>
    </row>
    <row r="71" spans="1:35" ht="11.25" customHeight="1" x14ac:dyDescent="0.15">
      <c r="A71" s="31"/>
      <c r="C71" s="51"/>
      <c r="D71" s="2">
        <v>18</v>
      </c>
      <c r="E71" s="2" t="str">
        <f>Texte!$A132</f>
        <v>Pouletmist</v>
      </c>
      <c r="F71" s="3">
        <v>2</v>
      </c>
      <c r="G71" s="45">
        <v>1</v>
      </c>
      <c r="H71" s="3"/>
      <c r="I71" s="3"/>
      <c r="J71" s="3"/>
      <c r="K71" s="2" t="s">
        <v>586</v>
      </c>
      <c r="L71" s="3"/>
      <c r="M71" s="3"/>
      <c r="N71" s="3"/>
      <c r="O71" s="3"/>
      <c r="P71" s="3"/>
      <c r="W71" s="7"/>
      <c r="X71" s="7"/>
      <c r="AC71" s="7"/>
      <c r="AD71" s="7"/>
      <c r="AE71" s="3"/>
      <c r="AF71" s="3"/>
    </row>
    <row r="72" spans="1:35" ht="11.25" customHeight="1" x14ac:dyDescent="0.15">
      <c r="C72" s="51"/>
      <c r="D72" s="2">
        <v>19</v>
      </c>
      <c r="E72" s="2" t="str">
        <f>Texte!$A133</f>
        <v>Trutenmist</v>
      </c>
      <c r="F72" s="3">
        <v>3</v>
      </c>
      <c r="G72" s="45">
        <v>1</v>
      </c>
      <c r="H72" s="3"/>
      <c r="I72" s="3"/>
      <c r="J72" s="3"/>
      <c r="K72" s="2" t="s">
        <v>586</v>
      </c>
      <c r="L72" s="3"/>
      <c r="M72" s="3"/>
      <c r="N72" s="3"/>
      <c r="O72" s="3"/>
      <c r="P72" s="3"/>
      <c r="W72" s="7"/>
      <c r="X72" s="7"/>
      <c r="AC72" s="7"/>
      <c r="AD72" s="7"/>
      <c r="AE72" s="3"/>
      <c r="AF72" s="3"/>
    </row>
    <row r="73" spans="1:35" ht="11.25" customHeight="1" x14ac:dyDescent="0.15">
      <c r="C73" s="52" t="str">
        <f>Texte!$A$116</f>
        <v>Biogasanlage</v>
      </c>
      <c r="D73" s="2">
        <v>20</v>
      </c>
      <c r="E73" s="2" t="str">
        <f>Texte!$A134</f>
        <v>Gärgülle</v>
      </c>
      <c r="F73" s="3">
        <v>0</v>
      </c>
      <c r="G73" s="45">
        <v>0</v>
      </c>
      <c r="H73" s="3" t="s">
        <v>457</v>
      </c>
      <c r="I73" s="3">
        <v>55</v>
      </c>
      <c r="J73" s="3">
        <v>25</v>
      </c>
      <c r="K73" s="2" t="s">
        <v>191</v>
      </c>
      <c r="L73" s="3"/>
      <c r="M73" s="3"/>
      <c r="N73" s="3"/>
      <c r="O73" s="3"/>
      <c r="X73" s="7"/>
      <c r="Y73" s="7"/>
      <c r="AD73" s="7"/>
      <c r="AE73" s="7"/>
      <c r="AF73" s="7"/>
      <c r="AG73" s="7"/>
    </row>
    <row r="74" spans="1:35" ht="11.25" customHeight="1" x14ac:dyDescent="0.15">
      <c r="C74" s="51"/>
      <c r="D74" s="2">
        <v>21</v>
      </c>
      <c r="E74" s="2" t="str">
        <f>Texte!$A135</f>
        <v>Gärmist</v>
      </c>
      <c r="F74" s="3">
        <v>1</v>
      </c>
      <c r="G74" s="45">
        <v>1</v>
      </c>
      <c r="H74" s="3" t="s">
        <v>456</v>
      </c>
      <c r="I74" s="3"/>
      <c r="J74" s="3"/>
      <c r="K74" s="2" t="s">
        <v>192</v>
      </c>
      <c r="L74" s="3"/>
      <c r="M74" s="3"/>
      <c r="N74" s="3"/>
      <c r="O74" s="3"/>
      <c r="Q74" s="3"/>
      <c r="W74" s="7"/>
      <c r="X74" s="7"/>
      <c r="AC74" s="7"/>
      <c r="AD74" s="7"/>
      <c r="AE74" s="3"/>
      <c r="AF74" s="7"/>
    </row>
    <row r="75" spans="1:35" ht="11.25" customHeight="1" x14ac:dyDescent="0.15">
      <c r="C75" s="51"/>
      <c r="D75" s="3">
        <v>22</v>
      </c>
      <c r="E75" s="2" t="s">
        <v>464</v>
      </c>
      <c r="F75" s="3">
        <v>2</v>
      </c>
      <c r="G75" s="45">
        <v>1</v>
      </c>
      <c r="H75" s="3" t="s">
        <v>456</v>
      </c>
      <c r="I75" s="3"/>
      <c r="K75" s="2" t="s">
        <v>192</v>
      </c>
      <c r="P75" s="1" t="s">
        <v>175</v>
      </c>
      <c r="Q75" s="2" t="str">
        <f>'Rechner Calulateur'!E25</f>
        <v>Keine Auswahl</v>
      </c>
      <c r="R75" s="2" t="s">
        <v>163</v>
      </c>
      <c r="S75" s="2" t="s">
        <v>164</v>
      </c>
      <c r="T75" s="2" t="s">
        <v>165</v>
      </c>
      <c r="U75" s="3" t="s">
        <v>166</v>
      </c>
      <c r="W75" s="7"/>
      <c r="X75" s="3"/>
      <c r="Y75" s="7"/>
    </row>
    <row r="76" spans="1:35" ht="11.25" customHeight="1" x14ac:dyDescent="0.15">
      <c r="C76" s="53"/>
      <c r="D76" s="48">
        <v>23</v>
      </c>
      <c r="E76" s="54" t="s">
        <v>190</v>
      </c>
      <c r="F76" s="48">
        <v>3</v>
      </c>
      <c r="G76" s="49">
        <v>0</v>
      </c>
      <c r="H76" s="3" t="s">
        <v>457</v>
      </c>
      <c r="I76" s="3">
        <v>55</v>
      </c>
      <c r="J76" s="3">
        <v>25</v>
      </c>
      <c r="K76" s="2" t="s">
        <v>191</v>
      </c>
      <c r="L76" s="3"/>
      <c r="M76" s="3"/>
      <c r="N76" s="3"/>
      <c r="O76" s="3"/>
      <c r="P76" s="2" t="s">
        <v>161</v>
      </c>
      <c r="R76" s="2" t="s">
        <v>162</v>
      </c>
      <c r="S76" s="2">
        <f>MATCH(Q75,Formeln_GRUD!C41:C49,0)</f>
        <v>1</v>
      </c>
      <c r="T76" s="2">
        <v>0</v>
      </c>
      <c r="U76" s="2">
        <v>1</v>
      </c>
      <c r="V76" s="2" t="e">
        <f>VLOOKUP(R76,Formeln_GRUD!C41:I49,7)</f>
        <v>#N/A</v>
      </c>
    </row>
    <row r="77" spans="1:35" ht="11.25" customHeight="1" x14ac:dyDescent="0.15">
      <c r="C77" s="2" t="str">
        <f>Texte!A78</f>
        <v>Grüngut Kompost</v>
      </c>
      <c r="D77" s="3">
        <v>24</v>
      </c>
      <c r="E77" s="3" t="s">
        <v>34</v>
      </c>
      <c r="F77" s="3">
        <v>0</v>
      </c>
      <c r="G77" s="45">
        <v>1</v>
      </c>
      <c r="H77" s="3" t="str">
        <f>Kompost!$B$128</f>
        <v>Kompost</v>
      </c>
      <c r="J77" s="3"/>
      <c r="K77" s="3" t="str">
        <f>Kompost!$B$128</f>
        <v>Kompost</v>
      </c>
      <c r="L77" s="3"/>
      <c r="M77" s="3"/>
      <c r="N77" s="3"/>
      <c r="O77" s="3"/>
    </row>
    <row r="78" spans="1:35" ht="11.25" customHeight="1" x14ac:dyDescent="0.15">
      <c r="E78" s="3"/>
      <c r="F78" s="3"/>
      <c r="P78" s="2" t="s">
        <v>479</v>
      </c>
    </row>
    <row r="79" spans="1:35" ht="11.25" customHeight="1" x14ac:dyDescent="0.15">
      <c r="B79" s="1" t="s">
        <v>352</v>
      </c>
      <c r="C79" s="38"/>
      <c r="G79" s="3"/>
      <c r="H79" s="3"/>
      <c r="I79" s="3"/>
      <c r="P79" s="2" t="s">
        <v>480</v>
      </c>
      <c r="Q79" s="2">
        <f>IF(P52,1/(1+'Rechner Calulateur'!G22),0)</f>
        <v>1</v>
      </c>
      <c r="R79" s="2" t="s">
        <v>483</v>
      </c>
      <c r="S79" s="2">
        <f>IF(AND(VLOOKUP('Rechner Calulateur'!E26,Formeln_GRUD!E55:G74,3,FALSE)=1,NOT(Formeln_GRUD!Q79=1)),1,Formeln_GRUD!Q79)</f>
        <v>1</v>
      </c>
      <c r="U79" s="7"/>
      <c r="V79" s="7"/>
    </row>
    <row r="80" spans="1:35" ht="11.25" customHeight="1" x14ac:dyDescent="0.15">
      <c r="B80" s="1"/>
      <c r="C80" s="38" t="s">
        <v>722</v>
      </c>
      <c r="D80" s="2" t="s">
        <v>723</v>
      </c>
      <c r="E80" s="3" t="s">
        <v>724</v>
      </c>
      <c r="G80" s="3"/>
      <c r="H80" s="3"/>
      <c r="I80" s="3"/>
      <c r="P80" s="3" t="s">
        <v>482</v>
      </c>
      <c r="U80" s="7"/>
      <c r="V80" s="7"/>
    </row>
    <row r="81" spans="2:22" ht="11.25" customHeight="1" x14ac:dyDescent="0.2">
      <c r="B81" s="1"/>
      <c r="C81" s="38"/>
      <c r="G81" s="3"/>
      <c r="H81" s="3"/>
      <c r="I81" s="3"/>
      <c r="P81" s="63" t="str">
        <f>Texte!A164</f>
        <v>Keine</v>
      </c>
      <c r="Q81" s="2">
        <v>1</v>
      </c>
      <c r="U81" s="7"/>
      <c r="V81" s="7"/>
    </row>
    <row r="82" spans="2:22" ht="11.25" customHeight="1" x14ac:dyDescent="0.2">
      <c r="B82" s="1"/>
      <c r="C82" s="59" t="s">
        <v>724</v>
      </c>
      <c r="G82" s="3"/>
      <c r="H82" s="3"/>
      <c r="I82" s="3"/>
      <c r="P82" s="63" t="str">
        <f>Texte!A165</f>
        <v>1:1</v>
      </c>
      <c r="Q82" s="2">
        <f>1/2</f>
        <v>0.5</v>
      </c>
      <c r="U82" s="7"/>
      <c r="V82" s="7"/>
    </row>
    <row r="83" spans="2:22" ht="11.25" customHeight="1" x14ac:dyDescent="0.2">
      <c r="C83" s="38"/>
      <c r="P83" s="63" t="str">
        <f>Texte!A166</f>
        <v>1:2</v>
      </c>
      <c r="Q83" s="2">
        <f>1/3</f>
        <v>0.33333333333333331</v>
      </c>
      <c r="U83" s="7"/>
      <c r="V83" s="7"/>
    </row>
    <row r="84" spans="2:22" ht="11.25" customHeight="1" x14ac:dyDescent="0.15">
      <c r="C84" s="2" t="s">
        <v>716</v>
      </c>
      <c r="D84" s="37" t="str">
        <f>G88</f>
        <v>Juli 2023</v>
      </c>
      <c r="F84" s="3"/>
      <c r="U84" s="7"/>
      <c r="V84" s="7"/>
    </row>
    <row r="85" spans="2:22" ht="11.25" customHeight="1" x14ac:dyDescent="0.15">
      <c r="F85" s="3"/>
      <c r="H85" s="2">
        <f>VLOOKUP(C88,C101:K108,MATCH(C82,C100:K100,0),0)</f>
        <v>141.4814814814815</v>
      </c>
      <c r="U85" s="7"/>
      <c r="V85" s="7"/>
    </row>
    <row r="86" spans="2:22" ht="11.25" customHeight="1" x14ac:dyDescent="0.15">
      <c r="C86" s="2" t="s">
        <v>721</v>
      </c>
      <c r="P86" s="1" t="s">
        <v>485</v>
      </c>
    </row>
    <row r="87" spans="2:22" ht="11.25" customHeight="1" x14ac:dyDescent="0.15">
      <c r="C87" s="26" t="s">
        <v>157</v>
      </c>
      <c r="D87" s="26"/>
      <c r="E87" s="26"/>
      <c r="F87" s="34" t="s">
        <v>156</v>
      </c>
    </row>
    <row r="88" spans="2:22" ht="11.25" customHeight="1" x14ac:dyDescent="0.15">
      <c r="C88" s="2" t="str">
        <f>$C$102</f>
        <v>Ammonsalpeter 27% + Mg</v>
      </c>
      <c r="F88" s="2">
        <f>VLOOKUP(C88,$C$101:$K$108,MATCH($C$82,$C$100:$K$100,0),0)</f>
        <v>141.4814814814815</v>
      </c>
      <c r="G88" s="2" t="str">
        <f>VLOOKUP(C88,$C$101:$L$108,MATCH($C$82,$C$100:$K$100,0)+1,0)</f>
        <v>Juli 2023</v>
      </c>
      <c r="P88" s="2" t="s">
        <v>448</v>
      </c>
    </row>
    <row r="90" spans="2:22" ht="11.25" customHeight="1" x14ac:dyDescent="0.15">
      <c r="C90" s="26" t="s">
        <v>157</v>
      </c>
      <c r="D90" s="26"/>
      <c r="E90" s="26"/>
      <c r="F90" s="34" t="s">
        <v>156</v>
      </c>
      <c r="P90" s="2" t="s">
        <v>447</v>
      </c>
      <c r="Q90" s="2">
        <v>0</v>
      </c>
      <c r="R90" s="2">
        <v>0</v>
      </c>
    </row>
    <row r="91" spans="2:22" ht="11.25" customHeight="1" x14ac:dyDescent="0.15">
      <c r="C91" s="2" t="str">
        <f>$C$105</f>
        <v>Granuphos 18</v>
      </c>
      <c r="F91" s="2">
        <f>VLOOKUP(C91,$C$101:$K$108,MATCH($C$82,$C$100:$K$100,0),0)</f>
        <v>316.66666666666663</v>
      </c>
      <c r="G91" s="2" t="str">
        <f>VLOOKUP(C91,$C$101:$L$108,MATCH($C$82,$C$100:$K$100,0)+1,0)</f>
        <v>Juli 2023</v>
      </c>
      <c r="P91" s="3" t="s">
        <v>444</v>
      </c>
      <c r="Q91" s="2">
        <v>30</v>
      </c>
      <c r="R91" s="2">
        <v>36</v>
      </c>
    </row>
    <row r="92" spans="2:22" ht="11.25" customHeight="1" x14ac:dyDescent="0.15">
      <c r="P92" s="3" t="s">
        <v>445</v>
      </c>
      <c r="Q92" s="2">
        <v>50</v>
      </c>
      <c r="R92" s="2">
        <v>60</v>
      </c>
    </row>
    <row r="93" spans="2:22" ht="11.25" customHeight="1" x14ac:dyDescent="0.15">
      <c r="C93" s="26" t="s">
        <v>157</v>
      </c>
      <c r="D93" s="26"/>
      <c r="E93" s="26"/>
      <c r="F93" s="34" t="s">
        <v>156</v>
      </c>
      <c r="P93" s="3" t="s">
        <v>446</v>
      </c>
      <c r="Q93" s="3">
        <v>70</v>
      </c>
      <c r="R93" s="3">
        <v>77</v>
      </c>
    </row>
    <row r="94" spans="2:22" ht="11.25" customHeight="1" x14ac:dyDescent="0.15">
      <c r="C94" s="2" t="str">
        <f>$C$108</f>
        <v>Kali 60%</v>
      </c>
      <c r="F94" s="2">
        <f>VLOOKUP(C94,$C$101:$K$108,MATCH($C$82,$C$100:$K$100,0),0)</f>
        <v>114.16666666666666</v>
      </c>
      <c r="G94" s="2" t="str">
        <f>VLOOKUP(C94,$C$101:$L$108,MATCH($C$82,$C$100:$K$100,0)+1,0)</f>
        <v>Juli 2023</v>
      </c>
      <c r="H94" s="1" t="s">
        <v>714</v>
      </c>
    </row>
    <row r="95" spans="2:22" ht="11.25" customHeight="1" x14ac:dyDescent="0.15">
      <c r="C95" s="38"/>
      <c r="P95" s="2" t="s">
        <v>450</v>
      </c>
      <c r="R95" s="2" t="s">
        <v>1</v>
      </c>
    </row>
    <row r="96" spans="2:22" ht="11.25" customHeight="1" x14ac:dyDescent="0.15">
      <c r="C96" s="38" t="s">
        <v>720</v>
      </c>
      <c r="H96" s="2" t="s">
        <v>716</v>
      </c>
      <c r="I96" s="2" t="str">
        <f>CONCATENATE(VLOOKUP(H97,D126:E137,2,0)," ",I97)</f>
        <v>Juli 2023</v>
      </c>
      <c r="R96" s="2" t="s">
        <v>43</v>
      </c>
    </row>
    <row r="97" spans="3:18" ht="11.25" customHeight="1" x14ac:dyDescent="0.15">
      <c r="C97" s="38"/>
      <c r="H97" s="35">
        <f>'LANDOR 7.23'!A1</f>
        <v>7</v>
      </c>
      <c r="I97" s="35">
        <f>'LANDOR 7.23'!B1</f>
        <v>2023</v>
      </c>
    </row>
    <row r="98" spans="3:18" ht="11.25" customHeight="1" x14ac:dyDescent="0.15">
      <c r="C98" s="2" t="s">
        <v>517</v>
      </c>
      <c r="D98" s="37" t="str">
        <f>CONCATENATE(VLOOKUP(E102,D126:E137,2,0)," ",D102)</f>
        <v>November 2022</v>
      </c>
      <c r="F98" s="3"/>
      <c r="P98" s="2" t="s">
        <v>18</v>
      </c>
      <c r="R98" s="2" t="str">
        <f>'Rechner Calulateur'!$E$25</f>
        <v>Keine Auswahl</v>
      </c>
    </row>
    <row r="99" spans="3:18" ht="11.25" customHeight="1" x14ac:dyDescent="0.15">
      <c r="F99" s="3"/>
      <c r="P99" s="2" t="s">
        <v>19</v>
      </c>
      <c r="R99" s="2" t="str">
        <f>'Rechner Calulateur'!$E$26</f>
        <v>Keine Auswahl</v>
      </c>
    </row>
    <row r="100" spans="3:18" ht="11.25" customHeight="1" x14ac:dyDescent="0.15">
      <c r="C100" s="2" t="s">
        <v>208</v>
      </c>
      <c r="F100" s="2" t="s">
        <v>723</v>
      </c>
      <c r="G100" s="2" t="s">
        <v>716</v>
      </c>
      <c r="H100" s="2" t="s">
        <v>208</v>
      </c>
      <c r="J100" s="2" t="s">
        <v>717</v>
      </c>
      <c r="K100" s="3" t="s">
        <v>724</v>
      </c>
    </row>
    <row r="101" spans="3:18" ht="11.25" customHeight="1" x14ac:dyDescent="0.15">
      <c r="C101" s="26" t="s">
        <v>157</v>
      </c>
      <c r="D101" s="26" t="s">
        <v>147</v>
      </c>
      <c r="E101" s="26" t="s">
        <v>146</v>
      </c>
      <c r="F101" s="34" t="s">
        <v>156</v>
      </c>
      <c r="H101" s="26" t="s">
        <v>157</v>
      </c>
      <c r="I101" s="34" t="s">
        <v>156</v>
      </c>
      <c r="J101" s="34" t="s">
        <v>718</v>
      </c>
      <c r="K101" s="34" t="s">
        <v>719</v>
      </c>
      <c r="P101" s="2" t="str">
        <f>C5</f>
        <v>TS</v>
      </c>
      <c r="R101" s="2">
        <f ca="1">IF(Formeln_GRUD!$T$36=FALSE,0,IF(VLOOKUP(R$99,Formeln_GRUD!$E$55:$G$74,3,FALSE)=0,VLOOKUP($P101,Formeln_GRUD!$C$5:$Y$22,VLOOKUP($R$98,Formeln_GRUD!$C$56:$D$78,2,0)+VLOOKUP($R$99,OFFSET(Formeln_GRUD!$E$56:$F$60,VLOOKUP(R$98,Formeln_GRUD!$C$56:$D$78,2,0)-3,,,),2,0),0)*Formeln_GRUD!$S$79,0))</f>
        <v>0</v>
      </c>
    </row>
    <row r="102" spans="3:18" ht="11.25" customHeight="1" x14ac:dyDescent="0.15">
      <c r="C102" s="2" t="str">
        <f>Texte!B75</f>
        <v>Ammonsalpeter 27% + Mg</v>
      </c>
      <c r="D102" s="2">
        <f>MAX('Düngerpreise Agristat'!D:D)</f>
        <v>2022</v>
      </c>
      <c r="E102" s="2">
        <f>VLOOKUP(Formeln_GRUD!D102,'Düngerpreise Agristat'!D:E,2,1)</f>
        <v>11</v>
      </c>
      <c r="F102" s="2">
        <f>DGET('Düngerpreise Agristat'!B:F,"Wert",Formeln_GRUD!C101:E102)</f>
        <v>338.93</v>
      </c>
      <c r="G102" s="37" t="str">
        <f>$D$98</f>
        <v>November 2022</v>
      </c>
      <c r="H102" s="2" t="s">
        <v>681</v>
      </c>
      <c r="I102" s="2">
        <f>DGET('LANDOR 7.23'!$A:$R,"Wert",Formeln_GRUD!H101:H102)</f>
        <v>38.200000000000003</v>
      </c>
      <c r="J102" s="2">
        <v>27</v>
      </c>
      <c r="K102" s="2">
        <f>I102/J102*100</f>
        <v>141.4814814814815</v>
      </c>
      <c r="L102" s="2" t="str">
        <f>$I$96</f>
        <v>Juli 2023</v>
      </c>
      <c r="P102" s="2" t="str">
        <f t="shared" ref="P102:P113" si="7">C10</f>
        <v>OS</v>
      </c>
      <c r="R102" s="2">
        <f ca="1">IF(Formeln_GRUD!$T$36=FALSE,0,IF(VLOOKUP(R$99,Formeln_GRUD!$E$55:$G$74,3,FALSE)=0,VLOOKUP($P102,Formeln_GRUD!$C$5:$Y$22,VLOOKUP($R$98,Formeln_GRUD!$C$56:$D$78,2,0)+VLOOKUP($R$99,OFFSET(Formeln_GRUD!$E$56:$F$60,VLOOKUP(R$98,Formeln_GRUD!$C$56:$D$78,2,0)-3,,,),2,0),0)*Formeln_GRUD!$S$79,0))</f>
        <v>0</v>
      </c>
    </row>
    <row r="103" spans="3:18" ht="11.25" customHeight="1" x14ac:dyDescent="0.15">
      <c r="P103" s="2" t="str">
        <f t="shared" si="7"/>
        <v>Nges</v>
      </c>
      <c r="Q103" s="2" t="s">
        <v>32</v>
      </c>
      <c r="R103" s="2">
        <f ca="1">IF(Formeln_GRUD!$T$36=FALSE,0,IF(VLOOKUP(R$99,Formeln_GRUD!$E$55:$G$74,3,FALSE)=0,VLOOKUP($P103,Formeln_GRUD!$C$5:$Y$22,VLOOKUP($R$98,Formeln_GRUD!$C$56:$D$78,2,0)+VLOOKUP($R$99,OFFSET(Formeln_GRUD!$E$56:$F$60,VLOOKUP(R$98,Formeln_GRUD!$C$56:$D$78,2,0)-3,,,),2,0),0)*Formeln_GRUD!$S$79,0))</f>
        <v>0</v>
      </c>
    </row>
    <row r="104" spans="3:18" ht="11.25" customHeight="1" x14ac:dyDescent="0.15">
      <c r="C104" s="26" t="s">
        <v>157</v>
      </c>
      <c r="D104" s="26" t="s">
        <v>147</v>
      </c>
      <c r="E104" s="26" t="s">
        <v>146</v>
      </c>
      <c r="F104" s="34" t="s">
        <v>156</v>
      </c>
      <c r="H104" s="26" t="s">
        <v>157</v>
      </c>
      <c r="I104" s="34" t="s">
        <v>156</v>
      </c>
      <c r="J104" s="34"/>
      <c r="K104" s="34"/>
      <c r="P104" s="2" t="str">
        <f t="shared" si="7"/>
        <v>Nlös</v>
      </c>
      <c r="R104" s="2">
        <f ca="1">IF(Formeln_GRUD!$T$36=FALSE,0,IF(VLOOKUP(R$99,Formeln_GRUD!$E$55:$G$74,3,FALSE)=0,VLOOKUP($P104,Formeln_GRUD!$C$5:$Y$22,VLOOKUP($R$98,Formeln_GRUD!$C$56:$D$78,2,0)+VLOOKUP($R$99,OFFSET(Formeln_GRUD!$E$56:$F$60,VLOOKUP(R$98,Formeln_GRUD!$C$56:$D$78,2,0)-3,,,),2,0),0)*Formeln_GRUD!$S$79,0))</f>
        <v>0</v>
      </c>
    </row>
    <row r="105" spans="3:18" ht="11.25" customHeight="1" x14ac:dyDescent="0.15">
      <c r="C105" s="2" t="str">
        <f>Texte!B76</f>
        <v>Granuphos 18</v>
      </c>
      <c r="D105" s="2">
        <f>MAX('Düngerpreise Agristat'!D:D)</f>
        <v>2022</v>
      </c>
      <c r="E105" s="2">
        <f>VLOOKUP(Formeln_GRUD!D105,'Düngerpreise Agristat'!D:E,2,1)</f>
        <v>11</v>
      </c>
      <c r="F105" s="2">
        <f>DGET('Düngerpreise Agristat'!B:F,"Wert",Formeln_GRUD!C104:E105)</f>
        <v>355.01</v>
      </c>
      <c r="G105" s="37" t="str">
        <f>$D$98</f>
        <v>November 2022</v>
      </c>
      <c r="H105" s="2" t="s">
        <v>715</v>
      </c>
      <c r="I105" s="2">
        <f>DGET('LANDOR 7.23'!$A:$R,"Wert",Formeln_GRUD!H104:H105)</f>
        <v>57</v>
      </c>
      <c r="J105" s="2">
        <v>18</v>
      </c>
      <c r="K105" s="2">
        <f>I105/J105*100</f>
        <v>316.66666666666663</v>
      </c>
      <c r="L105" s="2" t="str">
        <f>$I$96</f>
        <v>Juli 2023</v>
      </c>
      <c r="P105" s="2" t="str">
        <f t="shared" si="7"/>
        <v>Nverf</v>
      </c>
      <c r="Q105" s="2" t="s">
        <v>16</v>
      </c>
      <c r="R105" s="2">
        <f ca="1">IF(Formeln_GRUD!$T$36=FALSE,0,IF(VLOOKUP(R$99,Formeln_GRUD!$E$55:$G$74,3,FALSE)=0,VLOOKUP($P105,Formeln_GRUD!$C$5:$Y$22,VLOOKUP($R$98,Formeln_GRUD!$C$56:$D$78,2,0)+VLOOKUP($R$99,OFFSET(Formeln_GRUD!$E$56:$F$60,VLOOKUP(R$98,Formeln_GRUD!$C$56:$D$78,2,0)-3,,,),2,0),0)*Formeln_GRUD!$S$79,0))</f>
        <v>0</v>
      </c>
    </row>
    <row r="106" spans="3:18" ht="11.25" customHeight="1" x14ac:dyDescent="0.15">
      <c r="P106" s="2" t="str">
        <f t="shared" si="7"/>
        <v>Nverfmin</v>
      </c>
      <c r="Q106" s="2" t="s">
        <v>17</v>
      </c>
      <c r="R106" s="2">
        <f ca="1">IF(Formeln_GRUD!$T$36=FALSE,0,IF(VLOOKUP(R$99,Formeln_GRUD!$E$55:$G$74,3,FALSE)=0,VLOOKUP($P106,Formeln_GRUD!$C$5:$Y$22,VLOOKUP($R$98,Formeln_GRUD!$C$56:$D$78,2,0)+VLOOKUP($R$99,OFFSET(Formeln_GRUD!$E$56:$F$60,VLOOKUP(R$98,Formeln_GRUD!$C$56:$D$78,2,0)-3,,,),2,0),0)*Formeln_GRUD!$S$79,0))</f>
        <v>0</v>
      </c>
    </row>
    <row r="107" spans="3:18" ht="11.25" customHeight="1" x14ac:dyDescent="0.15">
      <c r="C107" s="26" t="s">
        <v>157</v>
      </c>
      <c r="D107" s="26" t="s">
        <v>147</v>
      </c>
      <c r="E107" s="26" t="s">
        <v>146</v>
      </c>
      <c r="F107" s="34" t="s">
        <v>156</v>
      </c>
      <c r="H107" s="26" t="s">
        <v>157</v>
      </c>
      <c r="I107" s="34" t="s">
        <v>156</v>
      </c>
      <c r="J107" s="34"/>
      <c r="K107" s="34"/>
      <c r="P107" s="2" t="str">
        <f t="shared" si="7"/>
        <v>Nverfmax</v>
      </c>
      <c r="R107" s="2">
        <f ca="1">IF(Formeln_GRUD!$T$36=FALSE,0,IF(VLOOKUP(R$99,Formeln_GRUD!$E$55:$G$74,3,FALSE)=0,VLOOKUP($P107,Formeln_GRUD!$C$5:$Y$22,VLOOKUP($R$98,Formeln_GRUD!$C$56:$D$78,2,0)+VLOOKUP($R$99,OFFSET(Formeln_GRUD!$E$56:$F$60,VLOOKUP(R$98,Formeln_GRUD!$C$56:$D$78,2,0)-3,,,),2,0),0)*Formeln_GRUD!$S$79,0))</f>
        <v>0</v>
      </c>
    </row>
    <row r="108" spans="3:18" ht="11.25" customHeight="1" x14ac:dyDescent="0.15">
      <c r="C108" s="2" t="str">
        <f>Texte!B77</f>
        <v>Kali 60%</v>
      </c>
      <c r="D108" s="2">
        <f>MAX('Düngerpreise Agristat'!D:D)</f>
        <v>2022</v>
      </c>
      <c r="E108" s="2">
        <f>VLOOKUP(Formeln_GRUD!D108,'Düngerpreise Agristat'!D:E,2,1)</f>
        <v>11</v>
      </c>
      <c r="F108" s="2">
        <f>DGET('Düngerpreise Agristat'!B:F,"Wert",Formeln_GRUD!C107:E108)</f>
        <v>167.48</v>
      </c>
      <c r="G108" s="37" t="str">
        <f>$D$98</f>
        <v>November 2022</v>
      </c>
      <c r="H108" s="2" t="s">
        <v>702</v>
      </c>
      <c r="I108" s="2">
        <f>DGET('LANDOR 7.23'!$A:$R,"Wert",Formeln_GRUD!H107:H108)</f>
        <v>68.5</v>
      </c>
      <c r="J108" s="2">
        <v>60</v>
      </c>
      <c r="K108" s="2">
        <f>I108/J108*100</f>
        <v>114.16666666666666</v>
      </c>
      <c r="L108" s="2" t="str">
        <f>$I$96</f>
        <v>Juli 2023</v>
      </c>
      <c r="P108" s="2" t="str">
        <f t="shared" si="7"/>
        <v>P</v>
      </c>
      <c r="R108" s="2">
        <f ca="1">IF(Formeln_GRUD!$T$36=FALSE,0,IF(VLOOKUP(R$99,Formeln_GRUD!$E$55:$G$74,3,FALSE)=0,VLOOKUP($P108,Formeln_GRUD!$C$5:$Y$22,VLOOKUP($R$98,Formeln_GRUD!$C$56:$D$78,2,0)+VLOOKUP($R$99,OFFSET(Formeln_GRUD!$E$56:$F$60,VLOOKUP(R$98,Formeln_GRUD!$C$56:$D$78,2,0)-3,,,),2,0),0)*Formeln_GRUD!$S$79,0))</f>
        <v>0</v>
      </c>
    </row>
    <row r="109" spans="3:18" ht="11.25" customHeight="1" x14ac:dyDescent="0.15">
      <c r="P109" s="2" t="str">
        <f t="shared" si="7"/>
        <v>P2O5</v>
      </c>
      <c r="R109" s="2">
        <f ca="1">IF(Formeln_GRUD!$T$36=FALSE,0,IF(VLOOKUP(R$99,Formeln_GRUD!$E$55:$G$74,3,FALSE)=0,VLOOKUP($P109,Formeln_GRUD!$C$5:$Y$22,VLOOKUP($R$98,Formeln_GRUD!$C$56:$D$78,2,0)+VLOOKUP($R$99,OFFSET(Formeln_GRUD!$E$56:$F$60,VLOOKUP(R$98,Formeln_GRUD!$C$56:$D$78,2,0)-3,,,),2,0),0)*Formeln_GRUD!$S$79,0))</f>
        <v>0</v>
      </c>
    </row>
    <row r="110" spans="3:18" ht="11.25" customHeight="1" x14ac:dyDescent="0.15">
      <c r="P110" s="2" t="str">
        <f t="shared" si="7"/>
        <v>K</v>
      </c>
      <c r="R110" s="2">
        <f ca="1">IF(Formeln_GRUD!$T$36=FALSE,0,IF(VLOOKUP(R$99,Formeln_GRUD!$E$55:$G$74,3,FALSE)=0,VLOOKUP($P110,Formeln_GRUD!$C$5:$Y$22,VLOOKUP($R$98,Formeln_GRUD!$C$56:$D$78,2,0)+VLOOKUP($R$99,OFFSET(Formeln_GRUD!$E$56:$F$60,VLOOKUP(R$98,Formeln_GRUD!$C$56:$D$78,2,0)-3,,,),2,0),0)*Formeln_GRUD!$S$79,0))</f>
        <v>0</v>
      </c>
    </row>
    <row r="111" spans="3:18" ht="11.25" customHeight="1" x14ac:dyDescent="0.15">
      <c r="C111" s="2" t="s">
        <v>468</v>
      </c>
      <c r="D111" s="2" t="s">
        <v>518</v>
      </c>
      <c r="P111" s="2" t="str">
        <f t="shared" si="7"/>
        <v>K2O</v>
      </c>
      <c r="R111" s="2">
        <f ca="1">IF(Formeln_GRUD!$T$36=FALSE,0,IF(VLOOKUP(R$99,Formeln_GRUD!$E$55:$G$74,3,FALSE)=0,VLOOKUP($P111,Formeln_GRUD!$C$5:$Y$22,VLOOKUP($R$98,Formeln_GRUD!$C$56:$D$78,2,0)+VLOOKUP($R$99,OFFSET(Formeln_GRUD!$E$56:$F$60,VLOOKUP(R$98,Formeln_GRUD!$C$56:$D$78,2,0)-3,,,),2,0),0)*Formeln_GRUD!$S$79,0))</f>
        <v>0</v>
      </c>
    </row>
    <row r="112" spans="3:18" ht="11.25" customHeight="1" x14ac:dyDescent="0.15">
      <c r="C112" s="165" t="s">
        <v>317</v>
      </c>
      <c r="D112" s="164">
        <v>2023</v>
      </c>
      <c r="P112" s="2" t="str">
        <f t="shared" si="7"/>
        <v>Mg</v>
      </c>
      <c r="R112" s="2">
        <f ca="1">IF(Formeln_GRUD!$T$36=FALSE,0,IF(VLOOKUP(R$99,Formeln_GRUD!$E$55:$G$74,3,FALSE)=0,VLOOKUP($P112,Formeln_GRUD!$C$5:$Y$22,VLOOKUP($R$98,Formeln_GRUD!$C$56:$D$78,2,0)+VLOOKUP($R$99,OFFSET(Formeln_GRUD!$E$56:$F$60,VLOOKUP(R$98,Formeln_GRUD!$C$56:$D$78,2,0)-3,,,),2,0),0)*Formeln_GRUD!$S$79,0))</f>
        <v>0</v>
      </c>
    </row>
    <row r="113" spans="3:18" ht="11.25" customHeight="1" x14ac:dyDescent="0.15">
      <c r="P113" s="2" t="str">
        <f t="shared" si="7"/>
        <v>Ca</v>
      </c>
      <c r="R113" s="2">
        <f ca="1">IF(Formeln_GRUD!$T$36=FALSE,0,IF(VLOOKUP(R$99,Formeln_GRUD!$E$55:$G$74,3,FALSE)=0,VLOOKUP($P113,Formeln_GRUD!$C$5:$Y$22,VLOOKUP($R$98,Formeln_GRUD!$C$56:$D$78,2,0)+VLOOKUP($R$99,OFFSET(Formeln_GRUD!$E$56:$F$60,VLOOKUP(R$98,Formeln_GRUD!$C$56:$D$78,2,0)-3,,,),2,0),0)*Formeln_GRUD!$S$79,0))</f>
        <v>0</v>
      </c>
    </row>
    <row r="114" spans="3:18" ht="11.25" customHeight="1" x14ac:dyDescent="0.15">
      <c r="P114" s="2" t="str">
        <f>C22</f>
        <v>Glühverlust</v>
      </c>
      <c r="R114" s="2">
        <f ca="1">IF(Formeln_GRUD!$T$36=FALSE,0,VLOOKUP($P114,Formeln_GRUD!$C$5:$Y$22,VLOOKUP($R$98,Formeln_GRUD!$C$56:$D$78,2,0)+VLOOKUP($R$99,OFFSET(Formeln_GRUD!$E$56:$F$60,VLOOKUP(R$98,Formeln_GRUD!$C$56:$D$78,2,0)-3,,,),2,0),0))</f>
        <v>0</v>
      </c>
    </row>
    <row r="115" spans="3:18" ht="11.25" customHeight="1" x14ac:dyDescent="0.15">
      <c r="C115" s="2" t="s">
        <v>208</v>
      </c>
    </row>
    <row r="116" spans="3:18" ht="11.25" customHeight="1" x14ac:dyDescent="0.15">
      <c r="D116" s="26" t="s">
        <v>147</v>
      </c>
      <c r="E116" s="26" t="s">
        <v>146</v>
      </c>
      <c r="F116" s="34" t="s">
        <v>156</v>
      </c>
      <c r="P116" s="2" t="s">
        <v>463</v>
      </c>
      <c r="Q116" s="2" t="s">
        <v>16</v>
      </c>
      <c r="R116" s="2">
        <f ca="1">R103-R106</f>
        <v>0</v>
      </c>
    </row>
    <row r="117" spans="3:18" ht="11.25" customHeight="1" x14ac:dyDescent="0.15">
      <c r="D117" s="2">
        <f>D112</f>
        <v>2023</v>
      </c>
      <c r="E117" s="2">
        <f>VLOOKUP($C$112,$C$126:$D$137,2,0)</f>
        <v>4</v>
      </c>
      <c r="F117" s="2" t="e">
        <f>DGET('Düngerpreise Agristat'!B:F,"Wert",Formeln_GRUD!C116:E117)</f>
        <v>#VALUE!</v>
      </c>
      <c r="Q117" s="2" t="s">
        <v>17</v>
      </c>
      <c r="R117" s="2">
        <f ca="1">R103-R105</f>
        <v>0</v>
      </c>
    </row>
    <row r="118" spans="3:18" ht="11.25" customHeight="1" x14ac:dyDescent="0.15">
      <c r="Q118" s="2" t="s">
        <v>469</v>
      </c>
      <c r="R118" s="2">
        <f ca="1">R103-AVERAGE(R105:R106)</f>
        <v>0</v>
      </c>
    </row>
    <row r="119" spans="3:18" ht="11.25" customHeight="1" x14ac:dyDescent="0.15">
      <c r="D119" s="26" t="s">
        <v>147</v>
      </c>
      <c r="E119" s="26" t="s">
        <v>146</v>
      </c>
      <c r="F119" s="34" t="s">
        <v>156</v>
      </c>
    </row>
    <row r="120" spans="3:18" ht="11.25" customHeight="1" x14ac:dyDescent="0.15">
      <c r="D120" s="2">
        <f>D112</f>
        <v>2023</v>
      </c>
      <c r="E120" s="2">
        <f>VLOOKUP($C$112,$C$126:$D$137,2,0)</f>
        <v>4</v>
      </c>
      <c r="F120" s="2" t="e">
        <f>DGET('Düngerpreise Agristat'!B:F,"Wert",Formeln_GRUD!C119:E120)</f>
        <v>#VALUE!</v>
      </c>
      <c r="P120" s="2" t="s">
        <v>460</v>
      </c>
      <c r="R120" s="7">
        <f>IF(Formeln_GRUD!$T$36=FALSE,0,VLOOKUP(VLOOKUP(R$99,$E$55:$H$76,4,0),Kompost!$A$89:$C$94,2,0))</f>
        <v>0</v>
      </c>
    </row>
    <row r="121" spans="3:18" ht="11.25" customHeight="1" x14ac:dyDescent="0.15">
      <c r="P121" s="2" t="s">
        <v>461</v>
      </c>
      <c r="R121" s="7">
        <f>IF(Formeln_GRUD!$T$36=FALSE,0,VLOOKUP(VLOOKUP(R$99,$E$55:$H$76,4,0),Kompost!$A$89:$C$94,3,0))</f>
        <v>0</v>
      </c>
    </row>
    <row r="122" spans="3:18" ht="11.25" customHeight="1" x14ac:dyDescent="0.15">
      <c r="D122" s="26" t="s">
        <v>147</v>
      </c>
      <c r="E122" s="26" t="s">
        <v>146</v>
      </c>
      <c r="F122" s="34" t="s">
        <v>156</v>
      </c>
      <c r="P122" s="3" t="s">
        <v>465</v>
      </c>
      <c r="R122" s="2">
        <f>IF(Formeln_GRUD!$T$36=FALSE,0,R121/R120)</f>
        <v>0</v>
      </c>
    </row>
    <row r="123" spans="3:18" ht="11.25" customHeight="1" x14ac:dyDescent="0.15">
      <c r="D123" s="2">
        <f>D112</f>
        <v>2023</v>
      </c>
      <c r="E123" s="2">
        <f>VLOOKUP($C$112,$C$126:$D$137,2,0)</f>
        <v>4</v>
      </c>
      <c r="F123" s="2" t="e">
        <f>DGET('Düngerpreise Agristat'!B:F,"Wert",Formeln_GRUD!C122:E123)</f>
        <v>#VALUE!</v>
      </c>
      <c r="P123" s="2" t="s">
        <v>466</v>
      </c>
      <c r="R123" s="2">
        <f ca="1">R103*R122</f>
        <v>0</v>
      </c>
    </row>
    <row r="125" spans="3:18" ht="11.25" customHeight="1" x14ac:dyDescent="0.15">
      <c r="P125" s="2" t="s">
        <v>443</v>
      </c>
      <c r="R125" s="2">
        <f ca="1">R118-R123</f>
        <v>0</v>
      </c>
    </row>
    <row r="126" spans="3:18" ht="11.25" customHeight="1" x14ac:dyDescent="0.15">
      <c r="C126" s="2" t="str">
        <f>Texte!A151</f>
        <v>Januar</v>
      </c>
      <c r="D126" s="2">
        <v>1</v>
      </c>
      <c r="E126" s="2" t="str">
        <f>Texte!A151</f>
        <v>Januar</v>
      </c>
      <c r="F126" s="2">
        <v>2018</v>
      </c>
      <c r="P126" s="166" t="s">
        <v>467</v>
      </c>
      <c r="Q126" s="166"/>
      <c r="R126" s="166">
        <f>IF(Formeln_GRUD!$T$36=FALSE,0,R125/R104*100)</f>
        <v>0</v>
      </c>
    </row>
    <row r="127" spans="3:18" ht="11.25" customHeight="1" x14ac:dyDescent="0.15">
      <c r="C127" s="2" t="str">
        <f>Texte!A152</f>
        <v>Februar</v>
      </c>
      <c r="D127" s="2">
        <v>2</v>
      </c>
      <c r="E127" s="2" t="str">
        <f>Texte!A152</f>
        <v>Februar</v>
      </c>
      <c r="F127" s="2">
        <v>2019</v>
      </c>
    </row>
    <row r="128" spans="3:18" ht="11.25" customHeight="1" x14ac:dyDescent="0.15">
      <c r="C128" s="2" t="str">
        <f>Texte!A153</f>
        <v>März</v>
      </c>
      <c r="D128" s="2">
        <v>3</v>
      </c>
      <c r="E128" s="2" t="str">
        <f>Texte!A153</f>
        <v>März</v>
      </c>
      <c r="F128" s="2">
        <v>2020</v>
      </c>
      <c r="N128" s="3" t="s">
        <v>486</v>
      </c>
      <c r="P128" s="2">
        <f>IF(Formeln_GRUD!$T$36=FALSE,0,VLOOKUP(R$99,$E$55:$J$76,5,0)*$R$104/100)</f>
        <v>0</v>
      </c>
      <c r="Q128" s="166"/>
    </row>
    <row r="129" spans="3:19" ht="11.25" customHeight="1" x14ac:dyDescent="0.15">
      <c r="C129" s="2" t="str">
        <f>Texte!A154</f>
        <v>April</v>
      </c>
      <c r="D129" s="2">
        <v>4</v>
      </c>
      <c r="E129" s="2" t="str">
        <f>Texte!A154</f>
        <v>April</v>
      </c>
      <c r="F129" s="2">
        <v>2021</v>
      </c>
      <c r="N129" s="3" t="s">
        <v>511</v>
      </c>
      <c r="P129" s="2">
        <f>IF(Formeln_GRUD!$T$36=FALSE,0,VLOOKUP(R$99,$E$55:$J$76,6,0)*$R$104/100)</f>
        <v>0</v>
      </c>
    </row>
    <row r="130" spans="3:19" ht="11.25" customHeight="1" x14ac:dyDescent="0.15">
      <c r="C130" s="2" t="str">
        <f>Texte!A155</f>
        <v>Mai</v>
      </c>
      <c r="D130" s="2">
        <v>5</v>
      </c>
      <c r="E130" s="2" t="str">
        <f>Texte!A155</f>
        <v>Mai</v>
      </c>
      <c r="F130" s="2">
        <v>2022</v>
      </c>
    </row>
    <row r="131" spans="3:19" ht="11.25" customHeight="1" x14ac:dyDescent="0.15">
      <c r="C131" s="2" t="str">
        <f>Texte!A156</f>
        <v>Juni</v>
      </c>
      <c r="D131" s="2">
        <v>6</v>
      </c>
      <c r="E131" s="2" t="str">
        <f>Texte!A156</f>
        <v>Juni</v>
      </c>
      <c r="F131" s="2">
        <v>2023</v>
      </c>
      <c r="Q131" s="2" t="s">
        <v>449</v>
      </c>
    </row>
    <row r="132" spans="3:19" ht="11.25" customHeight="1" x14ac:dyDescent="0.15">
      <c r="C132" s="2" t="str">
        <f>Texte!A157</f>
        <v>Juli</v>
      </c>
      <c r="D132" s="2">
        <v>7</v>
      </c>
      <c r="E132" s="2" t="str">
        <f>Texte!A157</f>
        <v>Juli</v>
      </c>
      <c r="F132" s="2">
        <v>2024</v>
      </c>
      <c r="N132" s="2" t="str">
        <f>Texte!A181</f>
        <v>Breitverteiler</v>
      </c>
      <c r="P132" s="2">
        <f>(P$128/100*Q90)</f>
        <v>0</v>
      </c>
      <c r="Q132" s="157">
        <f>$F$102/100*P132</f>
        <v>0</v>
      </c>
    </row>
    <row r="133" spans="3:19" ht="11.25" customHeight="1" x14ac:dyDescent="0.15">
      <c r="C133" s="2" t="str">
        <f>Texte!A158</f>
        <v>August</v>
      </c>
      <c r="D133" s="2">
        <v>8</v>
      </c>
      <c r="E133" s="2" t="str">
        <f>Texte!A158</f>
        <v>August</v>
      </c>
      <c r="F133" s="2">
        <v>2025</v>
      </c>
      <c r="N133" s="2" t="str">
        <f>Texte!A182</f>
        <v>Schleppschlauch</v>
      </c>
      <c r="P133" s="2">
        <f>(P$128/100*Q91)</f>
        <v>0</v>
      </c>
      <c r="Q133" s="157">
        <f>$F$102/100*P133</f>
        <v>0</v>
      </c>
    </row>
    <row r="134" spans="3:19" ht="11.25" customHeight="1" x14ac:dyDescent="0.15">
      <c r="C134" s="2" t="str">
        <f>Texte!A159</f>
        <v>September</v>
      </c>
      <c r="D134" s="2">
        <v>9</v>
      </c>
      <c r="E134" s="2" t="str">
        <f>Texte!A159</f>
        <v>September</v>
      </c>
      <c r="F134" s="2">
        <v>2026</v>
      </c>
      <c r="N134" s="2" t="str">
        <f>Texte!A183</f>
        <v>Schleppschuh</v>
      </c>
      <c r="P134" s="2">
        <f>(P$128/100*Q92)</f>
        <v>0</v>
      </c>
      <c r="Q134" s="157">
        <f>$F$102/100*P134</f>
        <v>0</v>
      </c>
    </row>
    <row r="135" spans="3:19" ht="11.25" customHeight="1" x14ac:dyDescent="0.15">
      <c r="C135" s="2" t="str">
        <f>Texte!A160</f>
        <v>Oktober</v>
      </c>
      <c r="D135" s="2">
        <v>10</v>
      </c>
      <c r="E135" s="2" t="str">
        <f>Texte!A160</f>
        <v>Oktober</v>
      </c>
      <c r="F135" s="2">
        <v>2027</v>
      </c>
      <c r="N135" s="2" t="str">
        <f>Texte!A184</f>
        <v>Gülledrill</v>
      </c>
      <c r="P135" s="2">
        <f>(P$128/100*Q93)</f>
        <v>0</v>
      </c>
      <c r="Q135" s="157">
        <f>$F$102/100*P135</f>
        <v>0</v>
      </c>
    </row>
    <row r="136" spans="3:19" ht="11.25" customHeight="1" x14ac:dyDescent="0.15">
      <c r="C136" s="2" t="str">
        <f>Texte!A161</f>
        <v>November</v>
      </c>
      <c r="D136" s="2">
        <v>11</v>
      </c>
      <c r="E136" s="2" t="str">
        <f>Texte!A161</f>
        <v>November</v>
      </c>
      <c r="F136" s="2">
        <v>2028</v>
      </c>
      <c r="N136" s="3"/>
      <c r="Q136" s="163"/>
    </row>
    <row r="137" spans="3:19" ht="11.25" customHeight="1" x14ac:dyDescent="0.15">
      <c r="C137" s="2" t="str">
        <f>Texte!A162</f>
        <v>Dezember</v>
      </c>
      <c r="D137" s="2">
        <v>12</v>
      </c>
      <c r="E137" s="2" t="str">
        <f>Texte!A162</f>
        <v>Dezember</v>
      </c>
      <c r="F137" s="2">
        <v>2029</v>
      </c>
      <c r="P137" s="2" t="s">
        <v>451</v>
      </c>
      <c r="S137" s="163"/>
    </row>
    <row r="138" spans="3:19" ht="11.25" customHeight="1" x14ac:dyDescent="0.15">
      <c r="P138" s="58" t="str">
        <f>IF(Formeln_GRUD!$T$36=FALSE,"",CONCATENATE(R98,": ",R99))</f>
        <v/>
      </c>
      <c r="Q138" s="2" t="s">
        <v>516</v>
      </c>
      <c r="S138" s="163"/>
    </row>
    <row r="167" spans="3:3" ht="11.25" customHeight="1" x14ac:dyDescent="0.15">
      <c r="C167" s="11" t="s">
        <v>524</v>
      </c>
    </row>
    <row r="168" spans="3:3" ht="11.25" customHeight="1" x14ac:dyDescent="0.15">
      <c r="C168" s="7"/>
    </row>
    <row r="169" spans="3:3" ht="11.25" customHeight="1" x14ac:dyDescent="0.15">
      <c r="C169" s="7" t="s">
        <v>535</v>
      </c>
    </row>
    <row r="170" spans="3:3" ht="11.25" customHeight="1" x14ac:dyDescent="0.15">
      <c r="C170" s="2" t="s">
        <v>536</v>
      </c>
    </row>
    <row r="171" spans="3:3" ht="11.25" customHeight="1" x14ac:dyDescent="0.15">
      <c r="C171" s="2" t="s">
        <v>537</v>
      </c>
    </row>
    <row r="172" spans="3:3" ht="11.25" customHeight="1" x14ac:dyDescent="0.15">
      <c r="C172" s="2" t="s">
        <v>538</v>
      </c>
    </row>
    <row r="173" spans="3:3" ht="11.25" customHeight="1" x14ac:dyDescent="0.15">
      <c r="C173" s="2" t="s">
        <v>542</v>
      </c>
    </row>
    <row r="174" spans="3:3" ht="11.25" customHeight="1" x14ac:dyDescent="0.15">
      <c r="C174" s="7" t="s">
        <v>541</v>
      </c>
    </row>
    <row r="175" spans="3:3" ht="11.25" customHeight="1" x14ac:dyDescent="0.15">
      <c r="C175" s="7" t="s">
        <v>540</v>
      </c>
    </row>
    <row r="176" spans="3:3" ht="11.25" customHeight="1" x14ac:dyDescent="0.15">
      <c r="C176" s="2" t="s">
        <v>543</v>
      </c>
    </row>
    <row r="177" spans="3:3" ht="11.25" customHeight="1" x14ac:dyDescent="0.15">
      <c r="C177" s="7" t="s">
        <v>539</v>
      </c>
    </row>
    <row r="178" spans="3:3" ht="11.25" customHeight="1" x14ac:dyDescent="0.15">
      <c r="C178" s="2" t="s">
        <v>545</v>
      </c>
    </row>
    <row r="179" spans="3:3" ht="11.25" customHeight="1" x14ac:dyDescent="0.15">
      <c r="C179" s="7" t="s">
        <v>544</v>
      </c>
    </row>
    <row r="180" spans="3:3" ht="11.25" customHeight="1" x14ac:dyDescent="0.15">
      <c r="C180" s="7"/>
    </row>
    <row r="181" spans="3:3" ht="11.25" customHeight="1" x14ac:dyDescent="0.15">
      <c r="C181" s="7"/>
    </row>
    <row r="182" spans="3:3" ht="11.25" customHeight="1" x14ac:dyDescent="0.15">
      <c r="C182" s="7"/>
    </row>
    <row r="183" spans="3:3" ht="11.25" customHeight="1" x14ac:dyDescent="0.15">
      <c r="C183" s="11" t="s">
        <v>546</v>
      </c>
    </row>
    <row r="184" spans="3:3" ht="11.25" customHeight="1" x14ac:dyDescent="0.15">
      <c r="C184" s="7"/>
    </row>
    <row r="185" spans="3:3" ht="11.25" customHeight="1" x14ac:dyDescent="0.15">
      <c r="C185" s="2" t="s">
        <v>547</v>
      </c>
    </row>
    <row r="186" spans="3:3" ht="11.25" customHeight="1" x14ac:dyDescent="0.15">
      <c r="C186" s="2" t="s">
        <v>548</v>
      </c>
    </row>
    <row r="187" spans="3:3" ht="11.25" customHeight="1" x14ac:dyDescent="0.15">
      <c r="C187" s="2" t="s">
        <v>549</v>
      </c>
    </row>
    <row r="188" spans="3:3" ht="11.25" customHeight="1" x14ac:dyDescent="0.15">
      <c r="C188" s="3" t="s">
        <v>550</v>
      </c>
    </row>
  </sheetData>
  <dataConsolidate/>
  <dataValidations count="5">
    <dataValidation type="list" allowBlank="1" showInputMessage="1" showErrorMessage="1" sqref="P58 R95">
      <formula1>$C$41:$C$49</formula1>
    </dataValidation>
    <dataValidation type="list" allowBlank="1" showInputMessage="1" showErrorMessage="1" sqref="R96">
      <formula1>INDIRECT(ADDRESS(24+MATCH(R95,$C$41:$C$49,0),4,,,"Formeln_GRUD")&amp;":"&amp;ADDRESS(24+MATCH(R95,$C$41:$C$49,0),4+VLOOKUP(R95,$C$41:$I$49,7,0)-1,,,))</formula1>
    </dataValidation>
    <dataValidation type="list" allowBlank="1" showInputMessage="1" showErrorMessage="1" sqref="D112">
      <formula1>$F$126:$F$132</formula1>
    </dataValidation>
    <dataValidation type="list" allowBlank="1" showInputMessage="1" showErrorMessage="1" sqref="C112">
      <formula1>$C$126:$C$137</formula1>
    </dataValidation>
    <dataValidation type="list" allowBlank="1" showInputMessage="1" showErrorMessage="1" sqref="C82">
      <formula1>$D$80:$E$80</formula1>
    </dataValidation>
  </dataValidations>
  <printOptions gridLines="1"/>
  <pageMargins left="1.1811023622047245" right="0.78740157480314965" top="1.5748031496062993" bottom="0.78740157480314965" header="0.51181102362204722" footer="0.51181102362204722"/>
  <pageSetup paperSize="9" orientation="portrait" r:id="rId1"/>
  <headerFooter alignWithMargins="0">
    <oddHeader>&amp;L&amp;G</oddHeader>
    <oddFooter>&amp;R&amp;8&amp;P/&amp;N&amp;L&amp;D / &amp;F /Michael Scheifele</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2"/>
  <sheetViews>
    <sheetView zoomScaleNormal="100" workbookViewId="0">
      <selection activeCell="D70" sqref="D70"/>
    </sheetView>
  </sheetViews>
  <sheetFormatPr baseColWidth="10" defaultColWidth="11.42578125" defaultRowHeight="11.25" x14ac:dyDescent="0.15"/>
  <cols>
    <col min="1" max="16384" width="11.42578125" style="7"/>
  </cols>
  <sheetData>
    <row r="1" spans="1:11" x14ac:dyDescent="0.15">
      <c r="A1" s="7" t="s">
        <v>158</v>
      </c>
      <c r="B1" s="7" t="s">
        <v>157</v>
      </c>
      <c r="C1" s="7" t="s">
        <v>27</v>
      </c>
      <c r="D1" s="7" t="s">
        <v>147</v>
      </c>
      <c r="E1" s="7" t="s">
        <v>146</v>
      </c>
      <c r="F1" s="7" t="s">
        <v>156</v>
      </c>
    </row>
    <row r="2" spans="1:11" x14ac:dyDescent="0.15">
      <c r="A2" s="7">
        <v>50</v>
      </c>
      <c r="B2" s="7" t="s">
        <v>148</v>
      </c>
      <c r="C2" s="7" t="s">
        <v>153</v>
      </c>
      <c r="D2" s="7">
        <v>2018</v>
      </c>
      <c r="E2" s="7">
        <v>1</v>
      </c>
      <c r="F2" s="7">
        <v>135.86000000000001</v>
      </c>
      <c r="J2" s="7" t="s">
        <v>524</v>
      </c>
      <c r="K2" s="7" t="s">
        <v>534</v>
      </c>
    </row>
    <row r="3" spans="1:11" x14ac:dyDescent="0.15">
      <c r="A3" s="7">
        <v>50</v>
      </c>
      <c r="B3" s="7" t="s">
        <v>148</v>
      </c>
      <c r="C3" s="7" t="s">
        <v>153</v>
      </c>
      <c r="D3" s="7">
        <v>2018</v>
      </c>
      <c r="E3" s="7">
        <v>2</v>
      </c>
      <c r="F3" s="7">
        <v>140.56</v>
      </c>
    </row>
    <row r="4" spans="1:11" x14ac:dyDescent="0.15">
      <c r="A4" s="7">
        <v>50</v>
      </c>
      <c r="B4" s="7" t="s">
        <v>148</v>
      </c>
      <c r="C4" s="7" t="s">
        <v>153</v>
      </c>
      <c r="D4" s="7">
        <v>2018</v>
      </c>
      <c r="E4" s="7">
        <v>3</v>
      </c>
      <c r="F4" s="7">
        <v>140.56</v>
      </c>
      <c r="J4" s="7" t="s">
        <v>535</v>
      </c>
    </row>
    <row r="5" spans="1:11" x14ac:dyDescent="0.15">
      <c r="A5" s="7">
        <v>50</v>
      </c>
      <c r="B5" s="7" t="s">
        <v>148</v>
      </c>
      <c r="C5" s="7" t="s">
        <v>153</v>
      </c>
      <c r="D5" s="7">
        <v>2018</v>
      </c>
      <c r="E5" s="7">
        <v>4</v>
      </c>
      <c r="F5" s="7">
        <v>140.56</v>
      </c>
      <c r="J5" s="2" t="s">
        <v>536</v>
      </c>
    </row>
    <row r="6" spans="1:11" x14ac:dyDescent="0.15">
      <c r="A6" s="7">
        <v>50</v>
      </c>
      <c r="B6" s="7" t="s">
        <v>148</v>
      </c>
      <c r="C6" s="7" t="s">
        <v>153</v>
      </c>
      <c r="D6" s="7">
        <v>2018</v>
      </c>
      <c r="E6" s="7">
        <v>5</v>
      </c>
      <c r="F6" s="7">
        <v>145.26</v>
      </c>
      <c r="J6" s="2" t="s">
        <v>537</v>
      </c>
    </row>
    <row r="7" spans="1:11" x14ac:dyDescent="0.15">
      <c r="A7" s="7">
        <v>50</v>
      </c>
      <c r="B7" s="7" t="s">
        <v>148</v>
      </c>
      <c r="C7" s="7" t="s">
        <v>153</v>
      </c>
      <c r="D7" s="8">
        <v>2018</v>
      </c>
      <c r="E7" s="8">
        <v>6</v>
      </c>
      <c r="F7" s="8">
        <v>145.26</v>
      </c>
      <c r="G7" s="8"/>
      <c r="J7" s="2" t="s">
        <v>538</v>
      </c>
    </row>
    <row r="8" spans="1:11" x14ac:dyDescent="0.15">
      <c r="A8" s="7">
        <v>50</v>
      </c>
      <c r="B8" s="7" t="s">
        <v>148</v>
      </c>
      <c r="C8" s="7" t="s">
        <v>153</v>
      </c>
      <c r="D8" s="7">
        <v>2018</v>
      </c>
      <c r="E8" s="7">
        <v>7</v>
      </c>
      <c r="F8" s="7">
        <v>126.11</v>
      </c>
      <c r="J8" s="2" t="s">
        <v>542</v>
      </c>
    </row>
    <row r="9" spans="1:11" x14ac:dyDescent="0.15">
      <c r="A9" s="7">
        <v>50</v>
      </c>
      <c r="B9" s="8" t="s">
        <v>148</v>
      </c>
      <c r="C9" s="7" t="s">
        <v>153</v>
      </c>
      <c r="D9" s="7">
        <v>2018</v>
      </c>
      <c r="E9" s="7">
        <v>8</v>
      </c>
      <c r="F9" s="7">
        <v>126.11</v>
      </c>
      <c r="J9" s="7" t="s">
        <v>541</v>
      </c>
    </row>
    <row r="10" spans="1:11" x14ac:dyDescent="0.15">
      <c r="A10" s="7">
        <v>50</v>
      </c>
      <c r="B10" s="8" t="s">
        <v>148</v>
      </c>
      <c r="C10" s="7" t="s">
        <v>153</v>
      </c>
      <c r="D10" s="7">
        <v>2018</v>
      </c>
      <c r="E10" s="7">
        <v>9</v>
      </c>
      <c r="F10" s="7">
        <v>126.11</v>
      </c>
      <c r="J10" s="7" t="s">
        <v>540</v>
      </c>
    </row>
    <row r="11" spans="1:11" x14ac:dyDescent="0.15">
      <c r="A11" s="7">
        <v>50</v>
      </c>
      <c r="B11" s="8" t="s">
        <v>148</v>
      </c>
      <c r="C11" s="7" t="s">
        <v>153</v>
      </c>
      <c r="D11" s="7">
        <v>2018</v>
      </c>
      <c r="E11" s="7">
        <v>10</v>
      </c>
      <c r="F11" s="7">
        <v>126.11</v>
      </c>
      <c r="J11" s="2" t="s">
        <v>543</v>
      </c>
    </row>
    <row r="12" spans="1:11" x14ac:dyDescent="0.15">
      <c r="A12" s="7">
        <v>50</v>
      </c>
      <c r="B12" s="8" t="s">
        <v>148</v>
      </c>
      <c r="C12" s="7" t="s">
        <v>153</v>
      </c>
      <c r="D12" s="7">
        <v>2018</v>
      </c>
      <c r="E12" s="7">
        <v>11</v>
      </c>
      <c r="F12" s="7">
        <v>145.97999999999999</v>
      </c>
      <c r="J12" s="7" t="s">
        <v>539</v>
      </c>
    </row>
    <row r="13" spans="1:11" x14ac:dyDescent="0.15">
      <c r="A13" s="7">
        <v>50</v>
      </c>
      <c r="B13" s="9" t="s">
        <v>148</v>
      </c>
      <c r="C13" s="7" t="s">
        <v>153</v>
      </c>
      <c r="D13" s="7">
        <v>2018</v>
      </c>
      <c r="E13" s="7">
        <v>12</v>
      </c>
      <c r="F13" s="7">
        <v>145.97999999999999</v>
      </c>
      <c r="J13" s="2" t="s">
        <v>545</v>
      </c>
    </row>
    <row r="14" spans="1:11" x14ac:dyDescent="0.15">
      <c r="A14" s="7">
        <v>50</v>
      </c>
      <c r="B14" s="8" t="s">
        <v>148</v>
      </c>
      <c r="C14" s="7" t="s">
        <v>153</v>
      </c>
      <c r="D14" s="7">
        <v>2019</v>
      </c>
      <c r="E14" s="7">
        <v>1</v>
      </c>
      <c r="F14" s="7">
        <v>153.21</v>
      </c>
      <c r="J14" s="7" t="s">
        <v>544</v>
      </c>
    </row>
    <row r="15" spans="1:11" x14ac:dyDescent="0.15">
      <c r="A15" s="7">
        <v>50</v>
      </c>
      <c r="B15" s="8" t="s">
        <v>148</v>
      </c>
      <c r="C15" s="7" t="s">
        <v>153</v>
      </c>
      <c r="D15" s="7">
        <v>2019</v>
      </c>
      <c r="E15" s="7">
        <v>2</v>
      </c>
      <c r="F15" s="7">
        <v>160.97999999999999</v>
      </c>
    </row>
    <row r="16" spans="1:11" x14ac:dyDescent="0.15">
      <c r="A16" s="7">
        <v>50</v>
      </c>
      <c r="B16" s="8" t="s">
        <v>148</v>
      </c>
      <c r="C16" s="7" t="s">
        <v>153</v>
      </c>
      <c r="D16" s="7">
        <v>2019</v>
      </c>
      <c r="E16" s="7">
        <v>3</v>
      </c>
      <c r="F16" s="7">
        <v>160.97999999999999</v>
      </c>
    </row>
    <row r="17" spans="1:10" x14ac:dyDescent="0.15">
      <c r="A17" s="7">
        <v>50</v>
      </c>
      <c r="B17" s="8" t="s">
        <v>148</v>
      </c>
      <c r="C17" s="7" t="s">
        <v>153</v>
      </c>
      <c r="D17" s="7">
        <v>2019</v>
      </c>
      <c r="E17" s="7">
        <v>4</v>
      </c>
      <c r="F17" s="7">
        <v>160.97999999999999</v>
      </c>
    </row>
    <row r="18" spans="1:10" x14ac:dyDescent="0.15">
      <c r="A18" s="7">
        <v>50</v>
      </c>
      <c r="B18" s="8" t="s">
        <v>148</v>
      </c>
      <c r="C18" s="7" t="s">
        <v>153</v>
      </c>
      <c r="D18" s="7">
        <v>2019</v>
      </c>
      <c r="E18" s="7">
        <v>5</v>
      </c>
      <c r="F18" s="7">
        <v>151.4</v>
      </c>
      <c r="J18" s="2" t="s">
        <v>546</v>
      </c>
    </row>
    <row r="19" spans="1:10" x14ac:dyDescent="0.15">
      <c r="A19" s="7">
        <v>50</v>
      </c>
      <c r="B19" s="8" t="s">
        <v>148</v>
      </c>
      <c r="C19" s="7" t="s">
        <v>153</v>
      </c>
      <c r="D19" s="7">
        <v>2019</v>
      </c>
      <c r="E19" s="7">
        <v>6</v>
      </c>
      <c r="F19" s="7">
        <v>151.4</v>
      </c>
    </row>
    <row r="20" spans="1:10" x14ac:dyDescent="0.15">
      <c r="A20" s="7">
        <v>50</v>
      </c>
      <c r="B20" s="8" t="s">
        <v>148</v>
      </c>
      <c r="C20" s="7" t="s">
        <v>153</v>
      </c>
      <c r="D20" s="7">
        <v>2019</v>
      </c>
      <c r="E20" s="7">
        <v>7</v>
      </c>
      <c r="F20" s="7">
        <v>151.4</v>
      </c>
      <c r="J20" s="2" t="s">
        <v>547</v>
      </c>
    </row>
    <row r="21" spans="1:10" x14ac:dyDescent="0.15">
      <c r="A21" s="7">
        <v>50</v>
      </c>
      <c r="B21" s="7" t="s">
        <v>148</v>
      </c>
      <c r="C21" s="7" t="s">
        <v>153</v>
      </c>
      <c r="D21" s="7">
        <v>2019</v>
      </c>
      <c r="E21" s="7">
        <v>8</v>
      </c>
      <c r="F21" s="7">
        <v>139.47999999999999</v>
      </c>
      <c r="J21" s="2" t="s">
        <v>548</v>
      </c>
    </row>
    <row r="22" spans="1:10" x14ac:dyDescent="0.15">
      <c r="A22" s="7">
        <v>50</v>
      </c>
      <c r="B22" s="7" t="s">
        <v>148</v>
      </c>
      <c r="C22" s="7" t="s">
        <v>153</v>
      </c>
      <c r="D22" s="7">
        <v>2019</v>
      </c>
      <c r="E22" s="7">
        <v>9</v>
      </c>
      <c r="F22" s="7">
        <v>139.47999999999999</v>
      </c>
      <c r="J22" s="2" t="s">
        <v>549</v>
      </c>
    </row>
    <row r="23" spans="1:10" x14ac:dyDescent="0.15">
      <c r="A23" s="7">
        <v>50</v>
      </c>
      <c r="B23" s="7" t="s">
        <v>148</v>
      </c>
      <c r="C23" s="7" t="s">
        <v>153</v>
      </c>
      <c r="D23" s="7">
        <v>2019</v>
      </c>
      <c r="E23" s="178">
        <v>10</v>
      </c>
      <c r="F23" s="7">
        <v>139.47999999999999</v>
      </c>
      <c r="J23" s="3" t="s">
        <v>550</v>
      </c>
    </row>
    <row r="24" spans="1:10" x14ac:dyDescent="0.15">
      <c r="A24" s="7">
        <v>50</v>
      </c>
      <c r="B24" s="7" t="s">
        <v>148</v>
      </c>
      <c r="C24" s="7" t="s">
        <v>153</v>
      </c>
      <c r="D24" s="7">
        <v>2019</v>
      </c>
      <c r="E24" s="7">
        <v>11</v>
      </c>
      <c r="F24" s="7">
        <v>139.47999999999999</v>
      </c>
    </row>
    <row r="25" spans="1:10" x14ac:dyDescent="0.15">
      <c r="A25" s="7">
        <v>50</v>
      </c>
      <c r="B25" s="7" t="s">
        <v>148</v>
      </c>
      <c r="C25" s="7" t="s">
        <v>153</v>
      </c>
      <c r="D25" s="7">
        <v>2019</v>
      </c>
      <c r="E25" s="7">
        <v>12</v>
      </c>
      <c r="F25" s="7">
        <v>147.43</v>
      </c>
    </row>
    <row r="26" spans="1:10" x14ac:dyDescent="0.15">
      <c r="A26" s="7">
        <v>50</v>
      </c>
      <c r="B26" s="7" t="s">
        <v>148</v>
      </c>
      <c r="C26" s="7" t="s">
        <v>153</v>
      </c>
      <c r="D26" s="7">
        <v>2020</v>
      </c>
      <c r="E26" s="7">
        <v>1</v>
      </c>
      <c r="F26" s="7">
        <v>147.43</v>
      </c>
    </row>
    <row r="27" spans="1:10" x14ac:dyDescent="0.15">
      <c r="A27" s="7">
        <v>50</v>
      </c>
      <c r="B27" s="7" t="s">
        <v>148</v>
      </c>
      <c r="C27" s="7" t="s">
        <v>153</v>
      </c>
      <c r="D27" s="7">
        <v>2020</v>
      </c>
      <c r="E27" s="7">
        <v>2</v>
      </c>
      <c r="F27" s="7">
        <v>149.22999999999999</v>
      </c>
    </row>
    <row r="28" spans="1:10" x14ac:dyDescent="0.15">
      <c r="A28" s="7">
        <v>50</v>
      </c>
      <c r="B28" s="7" t="s">
        <v>148</v>
      </c>
      <c r="C28" s="7" t="s">
        <v>153</v>
      </c>
      <c r="D28" s="7">
        <v>2020</v>
      </c>
      <c r="E28" s="7">
        <v>3</v>
      </c>
      <c r="F28" s="7">
        <v>149.22999999999999</v>
      </c>
    </row>
    <row r="29" spans="1:10" x14ac:dyDescent="0.15">
      <c r="A29" s="7">
        <v>50</v>
      </c>
      <c r="B29" s="7" t="s">
        <v>148</v>
      </c>
      <c r="C29" s="7" t="s">
        <v>153</v>
      </c>
      <c r="D29" s="7">
        <v>2020</v>
      </c>
      <c r="E29" s="7">
        <v>4</v>
      </c>
      <c r="F29" s="7">
        <v>145.62</v>
      </c>
    </row>
    <row r="30" spans="1:10" x14ac:dyDescent="0.15">
      <c r="A30" s="7">
        <v>50</v>
      </c>
      <c r="B30" s="7" t="s">
        <v>148</v>
      </c>
      <c r="C30" s="7" t="s">
        <v>153</v>
      </c>
      <c r="D30" s="7">
        <v>2020</v>
      </c>
      <c r="E30" s="7">
        <v>5</v>
      </c>
      <c r="F30" s="7">
        <v>145.62</v>
      </c>
    </row>
    <row r="31" spans="1:10" x14ac:dyDescent="0.15">
      <c r="A31" s="7">
        <v>50</v>
      </c>
      <c r="B31" s="7" t="s">
        <v>148</v>
      </c>
      <c r="C31" s="7" t="s">
        <v>153</v>
      </c>
      <c r="D31" s="7">
        <v>2020</v>
      </c>
      <c r="E31" s="7">
        <v>6</v>
      </c>
      <c r="F31" s="7">
        <v>138.03</v>
      </c>
    </row>
    <row r="32" spans="1:10" x14ac:dyDescent="0.15">
      <c r="A32" s="7">
        <v>50</v>
      </c>
      <c r="B32" s="7" t="s">
        <v>148</v>
      </c>
      <c r="C32" s="7" t="s">
        <v>153</v>
      </c>
      <c r="D32" s="7">
        <v>2020</v>
      </c>
      <c r="E32" s="7">
        <v>7</v>
      </c>
      <c r="F32" s="7">
        <v>138.03</v>
      </c>
    </row>
    <row r="33" spans="1:6" x14ac:dyDescent="0.15">
      <c r="A33" s="7">
        <v>50</v>
      </c>
      <c r="B33" s="7" t="s">
        <v>148</v>
      </c>
      <c r="C33" s="7" t="s">
        <v>153</v>
      </c>
      <c r="D33" s="7">
        <v>2020</v>
      </c>
      <c r="E33" s="7">
        <v>8</v>
      </c>
      <c r="F33" s="7">
        <v>119.96</v>
      </c>
    </row>
    <row r="34" spans="1:6" x14ac:dyDescent="0.15">
      <c r="A34" s="7">
        <v>50</v>
      </c>
      <c r="B34" s="7" t="s">
        <v>148</v>
      </c>
      <c r="C34" s="7" t="s">
        <v>153</v>
      </c>
      <c r="D34" s="7">
        <v>2020</v>
      </c>
      <c r="E34" s="7">
        <v>9</v>
      </c>
      <c r="F34" s="7">
        <v>119.96</v>
      </c>
    </row>
    <row r="35" spans="1:6" x14ac:dyDescent="0.15">
      <c r="A35" s="7">
        <v>50</v>
      </c>
      <c r="B35" s="7" t="s">
        <v>148</v>
      </c>
      <c r="C35" s="7" t="s">
        <v>153</v>
      </c>
      <c r="D35" s="7">
        <v>2020</v>
      </c>
      <c r="E35" s="7">
        <v>10</v>
      </c>
      <c r="F35" s="7">
        <v>119.96</v>
      </c>
    </row>
    <row r="36" spans="1:6" x14ac:dyDescent="0.15">
      <c r="A36" s="7">
        <v>50</v>
      </c>
      <c r="B36" s="7" t="s">
        <v>148</v>
      </c>
      <c r="C36" s="7" t="s">
        <v>153</v>
      </c>
      <c r="D36" s="7">
        <v>2020</v>
      </c>
      <c r="E36" s="7">
        <v>11</v>
      </c>
      <c r="F36" s="7">
        <v>119.96</v>
      </c>
    </row>
    <row r="37" spans="1:6" x14ac:dyDescent="0.15">
      <c r="A37" s="7">
        <v>50</v>
      </c>
      <c r="B37" s="7" t="s">
        <v>148</v>
      </c>
      <c r="C37" s="7" t="s">
        <v>153</v>
      </c>
      <c r="D37" s="7">
        <v>2020</v>
      </c>
      <c r="E37" s="7">
        <v>12</v>
      </c>
      <c r="F37" s="7">
        <v>131.53</v>
      </c>
    </row>
    <row r="38" spans="1:6" x14ac:dyDescent="0.15">
      <c r="A38" s="7">
        <v>50</v>
      </c>
      <c r="B38" s="7" t="s">
        <v>148</v>
      </c>
      <c r="C38" s="7" t="s">
        <v>153</v>
      </c>
      <c r="D38" s="7">
        <v>2021</v>
      </c>
      <c r="E38" s="7">
        <v>1</v>
      </c>
      <c r="F38" s="7">
        <v>131.53</v>
      </c>
    </row>
    <row r="39" spans="1:6" x14ac:dyDescent="0.15">
      <c r="A39" s="7">
        <v>50</v>
      </c>
      <c r="B39" s="7" t="s">
        <v>148</v>
      </c>
      <c r="C39" s="7" t="s">
        <v>153</v>
      </c>
      <c r="D39" s="7">
        <v>2021</v>
      </c>
      <c r="E39" s="7">
        <v>2</v>
      </c>
      <c r="F39" s="7">
        <v>136.94999999999999</v>
      </c>
    </row>
    <row r="40" spans="1:6" x14ac:dyDescent="0.15">
      <c r="A40" s="7">
        <v>50</v>
      </c>
      <c r="B40" s="7" t="s">
        <v>148</v>
      </c>
      <c r="C40" s="7" t="s">
        <v>153</v>
      </c>
      <c r="D40" s="7">
        <v>2021</v>
      </c>
      <c r="E40" s="7">
        <v>3</v>
      </c>
      <c r="F40" s="7">
        <v>136.94999999999999</v>
      </c>
    </row>
    <row r="41" spans="1:6" x14ac:dyDescent="0.15">
      <c r="A41" s="7">
        <v>50</v>
      </c>
      <c r="B41" s="7" t="s">
        <v>148</v>
      </c>
      <c r="C41" s="7" t="s">
        <v>153</v>
      </c>
      <c r="D41" s="7">
        <v>2021</v>
      </c>
      <c r="E41" s="7">
        <v>4</v>
      </c>
      <c r="F41" s="7">
        <v>151.76</v>
      </c>
    </row>
    <row r="42" spans="1:6" x14ac:dyDescent="0.15">
      <c r="A42" s="7">
        <v>50</v>
      </c>
      <c r="B42" s="7" t="s">
        <v>148</v>
      </c>
      <c r="C42" s="7" t="s">
        <v>153</v>
      </c>
      <c r="D42" s="7">
        <v>2021</v>
      </c>
      <c r="E42" s="7">
        <v>5</v>
      </c>
      <c r="F42" s="7">
        <v>151.76</v>
      </c>
    </row>
    <row r="43" spans="1:6" x14ac:dyDescent="0.15">
      <c r="A43" s="7">
        <v>50</v>
      </c>
      <c r="B43" s="7" t="s">
        <v>148</v>
      </c>
      <c r="C43" s="7" t="s">
        <v>153</v>
      </c>
      <c r="D43" s="7">
        <v>2021</v>
      </c>
      <c r="E43" s="7">
        <v>6</v>
      </c>
      <c r="F43" s="7">
        <v>162.96</v>
      </c>
    </row>
    <row r="44" spans="1:6" x14ac:dyDescent="0.15">
      <c r="A44" s="7">
        <v>50</v>
      </c>
      <c r="B44" s="7" t="s">
        <v>148</v>
      </c>
      <c r="C44" s="7" t="s">
        <v>153</v>
      </c>
      <c r="D44" s="7">
        <v>2021</v>
      </c>
      <c r="E44" s="7">
        <v>7</v>
      </c>
      <c r="F44" s="7">
        <v>162.96</v>
      </c>
    </row>
    <row r="45" spans="1:6" x14ac:dyDescent="0.15">
      <c r="A45" s="7">
        <v>50</v>
      </c>
      <c r="B45" s="7" t="s">
        <v>148</v>
      </c>
      <c r="C45" s="7" t="s">
        <v>153</v>
      </c>
      <c r="D45" s="7">
        <v>2021</v>
      </c>
      <c r="E45" s="7">
        <v>8</v>
      </c>
      <c r="F45" s="7">
        <v>162.96</v>
      </c>
    </row>
    <row r="46" spans="1:6" x14ac:dyDescent="0.15">
      <c r="A46" s="7">
        <v>50</v>
      </c>
      <c r="B46" s="7" t="s">
        <v>148</v>
      </c>
      <c r="C46" s="7" t="s">
        <v>153</v>
      </c>
      <c r="D46" s="7">
        <v>2021</v>
      </c>
      <c r="E46" s="7">
        <v>9</v>
      </c>
      <c r="F46" s="7">
        <v>156.46</v>
      </c>
    </row>
    <row r="47" spans="1:6" x14ac:dyDescent="0.15">
      <c r="A47" s="7">
        <v>50</v>
      </c>
      <c r="B47" s="7" t="s">
        <v>148</v>
      </c>
      <c r="C47" s="7" t="s">
        <v>153</v>
      </c>
      <c r="D47" s="7">
        <v>2021</v>
      </c>
      <c r="E47" s="7">
        <v>10</v>
      </c>
      <c r="F47" s="7">
        <v>165.49</v>
      </c>
    </row>
    <row r="48" spans="1:6" x14ac:dyDescent="0.15">
      <c r="A48" s="7">
        <v>50</v>
      </c>
      <c r="B48" s="7" t="s">
        <v>148</v>
      </c>
      <c r="C48" s="7" t="s">
        <v>153</v>
      </c>
      <c r="D48" s="7">
        <v>2021</v>
      </c>
      <c r="E48" s="7">
        <v>11</v>
      </c>
      <c r="F48" s="7">
        <v>165.49</v>
      </c>
    </row>
    <row r="49" spans="1:6" x14ac:dyDescent="0.15">
      <c r="A49" s="7">
        <v>50</v>
      </c>
      <c r="B49" s="7" t="s">
        <v>148</v>
      </c>
      <c r="C49" s="7" t="s">
        <v>153</v>
      </c>
      <c r="D49" s="7">
        <v>2021</v>
      </c>
      <c r="E49" s="7">
        <v>12</v>
      </c>
      <c r="F49" s="7">
        <v>285.45999999999998</v>
      </c>
    </row>
    <row r="50" spans="1:6" x14ac:dyDescent="0.15">
      <c r="A50" s="7">
        <v>50</v>
      </c>
      <c r="B50" s="7" t="s">
        <v>148</v>
      </c>
      <c r="C50" s="7" t="s">
        <v>153</v>
      </c>
      <c r="D50" s="7">
        <v>2022</v>
      </c>
      <c r="E50" s="7">
        <v>1</v>
      </c>
      <c r="F50" s="7">
        <v>285.45999999999998</v>
      </c>
    </row>
    <row r="51" spans="1:6" x14ac:dyDescent="0.15">
      <c r="A51" s="7">
        <v>50</v>
      </c>
      <c r="B51" s="7" t="s">
        <v>148</v>
      </c>
      <c r="C51" s="7" t="s">
        <v>153</v>
      </c>
      <c r="D51" s="7">
        <v>2022</v>
      </c>
      <c r="E51" s="7">
        <v>2</v>
      </c>
      <c r="F51" s="7">
        <v>285.45999999999998</v>
      </c>
    </row>
    <row r="52" spans="1:6" x14ac:dyDescent="0.15">
      <c r="A52" s="7">
        <v>50</v>
      </c>
      <c r="B52" s="7" t="s">
        <v>148</v>
      </c>
      <c r="C52" s="7" t="s">
        <v>153</v>
      </c>
      <c r="D52" s="7">
        <v>2022</v>
      </c>
      <c r="E52" s="7">
        <v>3</v>
      </c>
      <c r="F52" s="7">
        <v>285.45999999999998</v>
      </c>
    </row>
    <row r="53" spans="1:6" x14ac:dyDescent="0.15">
      <c r="A53" s="7">
        <v>50</v>
      </c>
      <c r="B53" s="7" t="s">
        <v>148</v>
      </c>
      <c r="C53" s="7" t="s">
        <v>153</v>
      </c>
      <c r="D53" s="7">
        <v>2022</v>
      </c>
      <c r="E53" s="7">
        <v>4</v>
      </c>
      <c r="F53" s="7">
        <v>343.27</v>
      </c>
    </row>
    <row r="54" spans="1:6" x14ac:dyDescent="0.15">
      <c r="A54" s="7">
        <v>50</v>
      </c>
      <c r="B54" s="7" t="s">
        <v>148</v>
      </c>
      <c r="C54" s="7" t="s">
        <v>153</v>
      </c>
      <c r="D54" s="7">
        <v>2022</v>
      </c>
      <c r="E54" s="7">
        <v>5</v>
      </c>
      <c r="F54" s="7">
        <v>343.27</v>
      </c>
    </row>
    <row r="55" spans="1:6" x14ac:dyDescent="0.15">
      <c r="A55" s="7">
        <v>50</v>
      </c>
      <c r="B55" s="7" t="s">
        <v>148</v>
      </c>
      <c r="C55" s="7" t="s">
        <v>153</v>
      </c>
      <c r="D55" s="7">
        <v>2022</v>
      </c>
      <c r="E55" s="7">
        <v>6</v>
      </c>
      <c r="F55" s="7">
        <v>307.14</v>
      </c>
    </row>
    <row r="56" spans="1:6" x14ac:dyDescent="0.15">
      <c r="A56" s="7">
        <v>50</v>
      </c>
      <c r="B56" s="7" t="s">
        <v>148</v>
      </c>
      <c r="C56" s="7" t="s">
        <v>153</v>
      </c>
      <c r="D56" s="7">
        <v>2022</v>
      </c>
      <c r="E56" s="7">
        <v>7</v>
      </c>
      <c r="F56" s="7">
        <v>275.33999999999997</v>
      </c>
    </row>
    <row r="57" spans="1:6" x14ac:dyDescent="0.15">
      <c r="A57" s="7">
        <v>50</v>
      </c>
      <c r="B57" s="7" t="s">
        <v>148</v>
      </c>
      <c r="C57" s="7" t="s">
        <v>153</v>
      </c>
      <c r="D57" s="7">
        <v>2022</v>
      </c>
      <c r="E57" s="7">
        <v>8</v>
      </c>
      <c r="F57" s="7">
        <v>331.71</v>
      </c>
    </row>
    <row r="58" spans="1:6" x14ac:dyDescent="0.15">
      <c r="A58" s="7">
        <v>50</v>
      </c>
      <c r="B58" s="7" t="s">
        <v>148</v>
      </c>
      <c r="C58" s="7" t="s">
        <v>153</v>
      </c>
      <c r="D58" s="7">
        <v>2022</v>
      </c>
      <c r="E58" s="7">
        <v>9</v>
      </c>
      <c r="F58" s="7">
        <v>346.16</v>
      </c>
    </row>
    <row r="59" spans="1:6" x14ac:dyDescent="0.15">
      <c r="A59" s="7">
        <v>50</v>
      </c>
      <c r="B59" s="7" t="s">
        <v>148</v>
      </c>
      <c r="C59" s="7" t="s">
        <v>153</v>
      </c>
      <c r="D59" s="7">
        <v>2022</v>
      </c>
      <c r="E59" s="7">
        <v>10</v>
      </c>
      <c r="F59" s="7">
        <v>351.58</v>
      </c>
    </row>
    <row r="60" spans="1:6" x14ac:dyDescent="0.15">
      <c r="A60" s="7">
        <v>50</v>
      </c>
      <c r="B60" s="7" t="s">
        <v>148</v>
      </c>
      <c r="C60" s="7" t="s">
        <v>153</v>
      </c>
      <c r="D60" s="7">
        <v>2022</v>
      </c>
      <c r="E60" s="7">
        <v>11</v>
      </c>
      <c r="F60" s="7">
        <v>338.93</v>
      </c>
    </row>
    <row r="61" spans="1:6" x14ac:dyDescent="0.15">
      <c r="A61" s="7">
        <v>51</v>
      </c>
      <c r="B61" s="7" t="s">
        <v>532</v>
      </c>
      <c r="C61" s="7" t="s">
        <v>153</v>
      </c>
      <c r="D61" s="7">
        <v>2018</v>
      </c>
      <c r="E61" s="7">
        <v>1</v>
      </c>
      <c r="F61" s="7">
        <v>116.22</v>
      </c>
    </row>
    <row r="62" spans="1:6" x14ac:dyDescent="0.15">
      <c r="A62" s="7">
        <v>51</v>
      </c>
      <c r="B62" s="7" t="s">
        <v>532</v>
      </c>
      <c r="C62" s="7" t="s">
        <v>153</v>
      </c>
      <c r="D62" s="7">
        <v>2018</v>
      </c>
      <c r="E62" s="7">
        <v>2</v>
      </c>
      <c r="F62" s="7">
        <v>119.19</v>
      </c>
    </row>
    <row r="63" spans="1:6" x14ac:dyDescent="0.15">
      <c r="A63" s="7">
        <v>51</v>
      </c>
      <c r="B63" s="7" t="s">
        <v>532</v>
      </c>
      <c r="C63" s="7" t="s">
        <v>153</v>
      </c>
      <c r="D63" s="7">
        <v>2018</v>
      </c>
      <c r="E63" s="7">
        <v>3</v>
      </c>
      <c r="F63" s="7">
        <v>119.19</v>
      </c>
    </row>
    <row r="64" spans="1:6" x14ac:dyDescent="0.15">
      <c r="A64" s="7">
        <v>51</v>
      </c>
      <c r="B64" s="7" t="s">
        <v>532</v>
      </c>
      <c r="C64" s="7" t="s">
        <v>153</v>
      </c>
      <c r="D64" s="7">
        <v>2018</v>
      </c>
      <c r="E64" s="7">
        <v>4</v>
      </c>
      <c r="F64" s="7">
        <v>119.19</v>
      </c>
    </row>
    <row r="65" spans="1:6" x14ac:dyDescent="0.15">
      <c r="A65" s="7">
        <v>51</v>
      </c>
      <c r="B65" s="7" t="s">
        <v>532</v>
      </c>
      <c r="C65" s="7" t="s">
        <v>153</v>
      </c>
      <c r="D65" s="7">
        <v>2018</v>
      </c>
      <c r="E65" s="7">
        <v>5</v>
      </c>
      <c r="F65" s="7">
        <v>121.31</v>
      </c>
    </row>
    <row r="66" spans="1:6" x14ac:dyDescent="0.15">
      <c r="A66" s="7">
        <v>51</v>
      </c>
      <c r="B66" s="7" t="s">
        <v>532</v>
      </c>
      <c r="C66" s="7" t="s">
        <v>153</v>
      </c>
      <c r="D66" s="7">
        <v>2018</v>
      </c>
      <c r="E66" s="7">
        <v>6</v>
      </c>
      <c r="F66" s="7">
        <v>121.31</v>
      </c>
    </row>
    <row r="67" spans="1:6" x14ac:dyDescent="0.15">
      <c r="A67" s="7">
        <v>51</v>
      </c>
      <c r="B67" s="7" t="s">
        <v>532</v>
      </c>
      <c r="C67" s="7" t="s">
        <v>153</v>
      </c>
      <c r="D67" s="7">
        <v>2018</v>
      </c>
      <c r="E67" s="7">
        <v>7</v>
      </c>
      <c r="F67" s="7">
        <v>113.04</v>
      </c>
    </row>
    <row r="68" spans="1:6" x14ac:dyDescent="0.15">
      <c r="A68" s="7">
        <v>51</v>
      </c>
      <c r="B68" s="7" t="s">
        <v>532</v>
      </c>
      <c r="C68" s="7" t="s">
        <v>153</v>
      </c>
      <c r="D68" s="7">
        <v>2018</v>
      </c>
      <c r="E68" s="7">
        <v>8</v>
      </c>
      <c r="F68" s="7">
        <v>113.04</v>
      </c>
    </row>
    <row r="69" spans="1:6" x14ac:dyDescent="0.15">
      <c r="A69" s="7">
        <v>51</v>
      </c>
      <c r="B69" s="7" t="s">
        <v>532</v>
      </c>
      <c r="C69" s="7" t="s">
        <v>153</v>
      </c>
      <c r="D69" s="7">
        <v>2018</v>
      </c>
      <c r="E69" s="7">
        <v>9</v>
      </c>
      <c r="F69" s="7">
        <v>113.04</v>
      </c>
    </row>
    <row r="70" spans="1:6" x14ac:dyDescent="0.15">
      <c r="A70" s="7">
        <v>51</v>
      </c>
      <c r="B70" s="7" t="s">
        <v>532</v>
      </c>
      <c r="C70" s="7" t="s">
        <v>153</v>
      </c>
      <c r="D70" s="7">
        <v>2018</v>
      </c>
      <c r="E70" s="7">
        <v>10</v>
      </c>
      <c r="F70" s="7">
        <v>113.04</v>
      </c>
    </row>
    <row r="71" spans="1:6" x14ac:dyDescent="0.15">
      <c r="A71" s="7">
        <v>51</v>
      </c>
      <c r="B71" s="7" t="s">
        <v>532</v>
      </c>
      <c r="C71" s="7" t="s">
        <v>153</v>
      </c>
      <c r="D71" s="7">
        <v>2018</v>
      </c>
      <c r="E71" s="7">
        <v>11</v>
      </c>
      <c r="F71" s="7">
        <v>128.31</v>
      </c>
    </row>
    <row r="72" spans="1:6" x14ac:dyDescent="0.15">
      <c r="A72" s="7">
        <v>51</v>
      </c>
      <c r="B72" s="7" t="s">
        <v>532</v>
      </c>
      <c r="C72" s="7" t="s">
        <v>153</v>
      </c>
      <c r="D72" s="7">
        <v>2018</v>
      </c>
      <c r="E72" s="7">
        <v>12</v>
      </c>
      <c r="F72" s="7">
        <v>128.31</v>
      </c>
    </row>
    <row r="73" spans="1:6" x14ac:dyDescent="0.15">
      <c r="A73" s="7">
        <v>51</v>
      </c>
      <c r="B73" s="7" t="s">
        <v>532</v>
      </c>
      <c r="C73" s="7" t="s">
        <v>153</v>
      </c>
      <c r="D73" s="7">
        <v>2019</v>
      </c>
      <c r="E73" s="7">
        <v>1</v>
      </c>
      <c r="F73" s="7">
        <v>130.43</v>
      </c>
    </row>
    <row r="74" spans="1:6" x14ac:dyDescent="0.15">
      <c r="A74" s="7">
        <v>51</v>
      </c>
      <c r="B74" s="7" t="s">
        <v>532</v>
      </c>
      <c r="C74" s="7" t="s">
        <v>153</v>
      </c>
      <c r="D74" s="7">
        <v>2019</v>
      </c>
      <c r="E74" s="7">
        <v>2</v>
      </c>
      <c r="F74" s="7">
        <v>132.66</v>
      </c>
    </row>
    <row r="75" spans="1:6" x14ac:dyDescent="0.15">
      <c r="A75" s="7">
        <v>51</v>
      </c>
      <c r="B75" s="7" t="s">
        <v>532</v>
      </c>
      <c r="C75" s="7" t="s">
        <v>153</v>
      </c>
      <c r="D75" s="7">
        <v>2019</v>
      </c>
      <c r="E75" s="7">
        <v>3</v>
      </c>
      <c r="F75" s="7">
        <v>132.66</v>
      </c>
    </row>
    <row r="76" spans="1:6" x14ac:dyDescent="0.15">
      <c r="A76" s="7">
        <v>51</v>
      </c>
      <c r="B76" s="7" t="s">
        <v>532</v>
      </c>
      <c r="C76" s="7" t="s">
        <v>153</v>
      </c>
      <c r="D76" s="7">
        <v>2019</v>
      </c>
      <c r="E76" s="7">
        <v>4</v>
      </c>
      <c r="F76" s="7">
        <v>132.66</v>
      </c>
    </row>
    <row r="77" spans="1:6" x14ac:dyDescent="0.15">
      <c r="A77" s="7">
        <v>51</v>
      </c>
      <c r="B77" s="7" t="s">
        <v>532</v>
      </c>
      <c r="C77" s="7" t="s">
        <v>153</v>
      </c>
      <c r="D77" s="7">
        <v>2019</v>
      </c>
      <c r="E77" s="7">
        <v>5</v>
      </c>
      <c r="F77" s="7">
        <v>121.74</v>
      </c>
    </row>
    <row r="78" spans="1:6" x14ac:dyDescent="0.15">
      <c r="A78" s="7">
        <v>51</v>
      </c>
      <c r="B78" s="7" t="s">
        <v>532</v>
      </c>
      <c r="C78" s="7" t="s">
        <v>153</v>
      </c>
      <c r="D78" s="7">
        <v>2019</v>
      </c>
      <c r="E78" s="7">
        <v>6</v>
      </c>
      <c r="F78" s="7">
        <v>121.74</v>
      </c>
    </row>
    <row r="79" spans="1:6" x14ac:dyDescent="0.15">
      <c r="A79" s="7">
        <v>51</v>
      </c>
      <c r="B79" s="7" t="s">
        <v>532</v>
      </c>
      <c r="C79" s="7" t="s">
        <v>153</v>
      </c>
      <c r="D79" s="7">
        <v>2019</v>
      </c>
      <c r="E79" s="7">
        <v>7</v>
      </c>
      <c r="F79" s="7">
        <v>121.74</v>
      </c>
    </row>
    <row r="80" spans="1:6" x14ac:dyDescent="0.15">
      <c r="A80" s="7">
        <v>51</v>
      </c>
      <c r="B80" s="7" t="s">
        <v>532</v>
      </c>
      <c r="C80" s="7" t="s">
        <v>153</v>
      </c>
      <c r="D80" s="7">
        <v>2019</v>
      </c>
      <c r="E80" s="7">
        <v>8</v>
      </c>
      <c r="F80" s="7">
        <v>118.35</v>
      </c>
    </row>
    <row r="81" spans="1:6" x14ac:dyDescent="0.15">
      <c r="A81" s="7">
        <v>51</v>
      </c>
      <c r="B81" s="7" t="s">
        <v>532</v>
      </c>
      <c r="C81" s="7" t="s">
        <v>153</v>
      </c>
      <c r="D81" s="7">
        <v>2019</v>
      </c>
      <c r="E81" s="7">
        <v>9</v>
      </c>
      <c r="F81" s="7">
        <v>118.35</v>
      </c>
    </row>
    <row r="82" spans="1:6" x14ac:dyDescent="0.15">
      <c r="A82" s="7">
        <v>51</v>
      </c>
      <c r="B82" s="7" t="s">
        <v>532</v>
      </c>
      <c r="C82" s="7" t="s">
        <v>153</v>
      </c>
      <c r="D82" s="7">
        <v>2019</v>
      </c>
      <c r="E82" s="7">
        <v>10</v>
      </c>
      <c r="F82" s="7">
        <v>118.35</v>
      </c>
    </row>
    <row r="83" spans="1:6" x14ac:dyDescent="0.15">
      <c r="A83" s="7">
        <v>51</v>
      </c>
      <c r="B83" s="7" t="s">
        <v>532</v>
      </c>
      <c r="C83" s="7" t="s">
        <v>153</v>
      </c>
      <c r="D83" s="7">
        <v>2019</v>
      </c>
      <c r="E83" s="7">
        <v>11</v>
      </c>
      <c r="F83" s="7">
        <v>118.35</v>
      </c>
    </row>
    <row r="84" spans="1:6" x14ac:dyDescent="0.15">
      <c r="A84" s="7">
        <v>51</v>
      </c>
      <c r="B84" s="7" t="s">
        <v>532</v>
      </c>
      <c r="C84" s="7" t="s">
        <v>153</v>
      </c>
      <c r="D84" s="7">
        <v>2019</v>
      </c>
      <c r="E84" s="7">
        <v>12</v>
      </c>
      <c r="F84" s="7">
        <v>120.68</v>
      </c>
    </row>
    <row r="85" spans="1:6" x14ac:dyDescent="0.15">
      <c r="A85" s="7">
        <v>51</v>
      </c>
      <c r="B85" s="7" t="s">
        <v>532</v>
      </c>
      <c r="C85" s="7" t="s">
        <v>153</v>
      </c>
      <c r="D85" s="7">
        <v>2020</v>
      </c>
      <c r="E85" s="7">
        <v>1</v>
      </c>
      <c r="F85" s="7">
        <v>120.68</v>
      </c>
    </row>
    <row r="86" spans="1:6" x14ac:dyDescent="0.15">
      <c r="A86" s="7">
        <v>51</v>
      </c>
      <c r="B86" s="7" t="s">
        <v>532</v>
      </c>
      <c r="C86" s="7" t="s">
        <v>153</v>
      </c>
      <c r="D86" s="7">
        <v>2020</v>
      </c>
      <c r="E86" s="7">
        <v>2</v>
      </c>
      <c r="F86" s="7">
        <v>120.68</v>
      </c>
    </row>
    <row r="87" spans="1:6" x14ac:dyDescent="0.15">
      <c r="A87" s="7">
        <v>51</v>
      </c>
      <c r="B87" s="7" t="s">
        <v>532</v>
      </c>
      <c r="C87" s="7" t="s">
        <v>153</v>
      </c>
      <c r="D87" s="7">
        <v>2020</v>
      </c>
      <c r="E87" s="7">
        <v>3</v>
      </c>
      <c r="F87" s="7">
        <v>120.68</v>
      </c>
    </row>
    <row r="88" spans="1:6" x14ac:dyDescent="0.15">
      <c r="A88" s="7">
        <v>51</v>
      </c>
      <c r="B88" s="7" t="s">
        <v>532</v>
      </c>
      <c r="C88" s="7" t="s">
        <v>153</v>
      </c>
      <c r="D88" s="7">
        <v>2020</v>
      </c>
      <c r="E88" s="7">
        <v>4</v>
      </c>
      <c r="F88" s="7">
        <v>118.35</v>
      </c>
    </row>
    <row r="89" spans="1:6" x14ac:dyDescent="0.15">
      <c r="A89" s="7">
        <v>51</v>
      </c>
      <c r="B89" s="7" t="s">
        <v>532</v>
      </c>
      <c r="C89" s="7" t="s">
        <v>153</v>
      </c>
      <c r="D89" s="7">
        <v>2020</v>
      </c>
      <c r="E89" s="7">
        <v>5</v>
      </c>
      <c r="F89" s="7">
        <v>118.35</v>
      </c>
    </row>
    <row r="90" spans="1:6" x14ac:dyDescent="0.15">
      <c r="A90" s="7">
        <v>51</v>
      </c>
      <c r="B90" s="7" t="s">
        <v>532</v>
      </c>
      <c r="C90" s="7" t="s">
        <v>153</v>
      </c>
      <c r="D90" s="7">
        <v>2020</v>
      </c>
      <c r="E90" s="7">
        <v>6</v>
      </c>
      <c r="F90" s="7">
        <v>109.65</v>
      </c>
    </row>
    <row r="91" spans="1:6" x14ac:dyDescent="0.15">
      <c r="A91" s="7">
        <v>51</v>
      </c>
      <c r="B91" s="7" t="s">
        <v>532</v>
      </c>
      <c r="C91" s="7" t="s">
        <v>153</v>
      </c>
      <c r="D91" s="7">
        <v>2020</v>
      </c>
      <c r="E91" s="7">
        <v>7</v>
      </c>
      <c r="F91" s="7">
        <v>109.65</v>
      </c>
    </row>
    <row r="92" spans="1:6" x14ac:dyDescent="0.15">
      <c r="A92" s="7">
        <v>51</v>
      </c>
      <c r="B92" s="7" t="s">
        <v>532</v>
      </c>
      <c r="C92" s="7" t="s">
        <v>153</v>
      </c>
      <c r="D92" s="7">
        <v>2020</v>
      </c>
      <c r="E92" s="7">
        <v>8</v>
      </c>
      <c r="F92" s="7">
        <v>106.47</v>
      </c>
    </row>
    <row r="93" spans="1:6" x14ac:dyDescent="0.15">
      <c r="A93" s="7">
        <v>51</v>
      </c>
      <c r="B93" s="7" t="s">
        <v>532</v>
      </c>
      <c r="C93" s="7" t="s">
        <v>153</v>
      </c>
      <c r="D93" s="7">
        <v>2020</v>
      </c>
      <c r="E93" s="7">
        <v>9</v>
      </c>
      <c r="F93" s="7">
        <v>106.47</v>
      </c>
    </row>
    <row r="94" spans="1:6" x14ac:dyDescent="0.15">
      <c r="A94" s="7">
        <v>51</v>
      </c>
      <c r="B94" s="7" t="s">
        <v>532</v>
      </c>
      <c r="C94" s="7" t="s">
        <v>153</v>
      </c>
      <c r="D94" s="7">
        <v>2020</v>
      </c>
      <c r="E94" s="7">
        <v>10</v>
      </c>
      <c r="F94" s="7">
        <v>108.59</v>
      </c>
    </row>
    <row r="95" spans="1:6" x14ac:dyDescent="0.15">
      <c r="A95" s="7">
        <v>51</v>
      </c>
      <c r="B95" s="7" t="s">
        <v>532</v>
      </c>
      <c r="C95" s="7" t="s">
        <v>153</v>
      </c>
      <c r="D95" s="7">
        <v>2020</v>
      </c>
      <c r="E95" s="7">
        <v>11</v>
      </c>
      <c r="F95" s="7">
        <v>108.59</v>
      </c>
    </row>
    <row r="96" spans="1:6" x14ac:dyDescent="0.15">
      <c r="A96" s="7">
        <v>51</v>
      </c>
      <c r="B96" s="7" t="s">
        <v>532</v>
      </c>
      <c r="C96" s="7" t="s">
        <v>153</v>
      </c>
      <c r="D96" s="7">
        <v>2020</v>
      </c>
      <c r="E96" s="7">
        <v>12</v>
      </c>
      <c r="F96" s="7">
        <v>110.92</v>
      </c>
    </row>
    <row r="97" spans="1:6" x14ac:dyDescent="0.15">
      <c r="A97" s="7">
        <v>51</v>
      </c>
      <c r="B97" s="7" t="s">
        <v>532</v>
      </c>
      <c r="C97" s="7" t="s">
        <v>153</v>
      </c>
      <c r="D97" s="7">
        <v>2021</v>
      </c>
      <c r="E97" s="7">
        <v>1</v>
      </c>
      <c r="F97" s="7">
        <v>110.92</v>
      </c>
    </row>
    <row r="98" spans="1:6" x14ac:dyDescent="0.15">
      <c r="A98" s="7">
        <v>51</v>
      </c>
      <c r="B98" s="7" t="s">
        <v>532</v>
      </c>
      <c r="C98" s="7" t="s">
        <v>153</v>
      </c>
      <c r="D98" s="7">
        <v>2021</v>
      </c>
      <c r="E98" s="7">
        <v>2</v>
      </c>
      <c r="F98" s="7">
        <v>119.62</v>
      </c>
    </row>
    <row r="99" spans="1:6" x14ac:dyDescent="0.15">
      <c r="A99" s="7">
        <v>51</v>
      </c>
      <c r="B99" s="7" t="s">
        <v>532</v>
      </c>
      <c r="C99" s="7" t="s">
        <v>153</v>
      </c>
      <c r="D99" s="7">
        <v>2021</v>
      </c>
      <c r="E99" s="7">
        <v>3</v>
      </c>
      <c r="F99" s="7">
        <v>119.62</v>
      </c>
    </row>
    <row r="100" spans="1:6" x14ac:dyDescent="0.15">
      <c r="A100" s="7">
        <v>51</v>
      </c>
      <c r="B100" s="7" t="s">
        <v>532</v>
      </c>
      <c r="C100" s="7" t="s">
        <v>153</v>
      </c>
      <c r="D100" s="7">
        <v>2021</v>
      </c>
      <c r="E100" s="7">
        <v>4</v>
      </c>
      <c r="F100" s="7">
        <v>128.31</v>
      </c>
    </row>
    <row r="101" spans="1:6" x14ac:dyDescent="0.15">
      <c r="A101" s="7">
        <v>51</v>
      </c>
      <c r="B101" s="7" t="s">
        <v>532</v>
      </c>
      <c r="C101" s="7" t="s">
        <v>153</v>
      </c>
      <c r="D101" s="7">
        <v>2021</v>
      </c>
      <c r="E101" s="7">
        <v>5</v>
      </c>
      <c r="F101" s="7">
        <v>128.31</v>
      </c>
    </row>
    <row r="102" spans="1:6" x14ac:dyDescent="0.15">
      <c r="A102" s="7">
        <v>51</v>
      </c>
      <c r="B102" s="7" t="s">
        <v>532</v>
      </c>
      <c r="C102" s="7" t="s">
        <v>153</v>
      </c>
      <c r="D102" s="7">
        <v>2021</v>
      </c>
      <c r="E102" s="7">
        <v>6</v>
      </c>
      <c r="F102" s="7">
        <v>132.56</v>
      </c>
    </row>
    <row r="103" spans="1:6" x14ac:dyDescent="0.15">
      <c r="A103" s="7">
        <v>51</v>
      </c>
      <c r="B103" s="7" t="s">
        <v>532</v>
      </c>
      <c r="C103" s="7" t="s">
        <v>153</v>
      </c>
      <c r="D103" s="7">
        <v>2021</v>
      </c>
      <c r="E103" s="7">
        <v>7</v>
      </c>
      <c r="F103" s="7">
        <v>132.56</v>
      </c>
    </row>
    <row r="104" spans="1:6" x14ac:dyDescent="0.15">
      <c r="A104" s="7">
        <v>51</v>
      </c>
      <c r="B104" s="7" t="s">
        <v>532</v>
      </c>
      <c r="C104" s="7" t="s">
        <v>153</v>
      </c>
      <c r="D104" s="7">
        <v>2021</v>
      </c>
      <c r="E104" s="7">
        <v>8</v>
      </c>
      <c r="F104" s="7">
        <v>132.56</v>
      </c>
    </row>
    <row r="105" spans="1:6" x14ac:dyDescent="0.15">
      <c r="A105" s="7">
        <v>51</v>
      </c>
      <c r="B105" s="7" t="s">
        <v>532</v>
      </c>
      <c r="C105" s="7" t="s">
        <v>153</v>
      </c>
      <c r="D105" s="7">
        <v>2021</v>
      </c>
      <c r="E105" s="7">
        <v>9</v>
      </c>
      <c r="F105" s="7">
        <v>141.04</v>
      </c>
    </row>
    <row r="106" spans="1:6" x14ac:dyDescent="0.15">
      <c r="A106" s="7">
        <v>51</v>
      </c>
      <c r="B106" s="7" t="s">
        <v>532</v>
      </c>
      <c r="C106" s="7" t="s">
        <v>153</v>
      </c>
      <c r="D106" s="7">
        <v>2021</v>
      </c>
      <c r="E106" s="7">
        <v>10</v>
      </c>
      <c r="F106" s="7">
        <v>146.34</v>
      </c>
    </row>
    <row r="107" spans="1:6" x14ac:dyDescent="0.15">
      <c r="A107" s="7">
        <v>51</v>
      </c>
      <c r="B107" s="7" t="s">
        <v>532</v>
      </c>
      <c r="C107" s="7" t="s">
        <v>153</v>
      </c>
      <c r="D107" s="7">
        <v>2021</v>
      </c>
      <c r="E107" s="7">
        <v>11</v>
      </c>
      <c r="F107" s="7">
        <v>146.34</v>
      </c>
    </row>
    <row r="108" spans="1:6" x14ac:dyDescent="0.15">
      <c r="A108" s="7">
        <v>51</v>
      </c>
      <c r="B108" s="7" t="s">
        <v>532</v>
      </c>
      <c r="C108" s="7" t="s">
        <v>153</v>
      </c>
      <c r="D108" s="7">
        <v>2021</v>
      </c>
      <c r="E108" s="7">
        <v>12</v>
      </c>
      <c r="F108" s="7">
        <v>226.94</v>
      </c>
    </row>
    <row r="109" spans="1:6" x14ac:dyDescent="0.15">
      <c r="A109" s="7">
        <v>51</v>
      </c>
      <c r="B109" s="7" t="s">
        <v>532</v>
      </c>
      <c r="C109" s="7" t="s">
        <v>153</v>
      </c>
      <c r="D109" s="7">
        <v>2022</v>
      </c>
      <c r="E109" s="7">
        <v>1</v>
      </c>
      <c r="F109" s="7">
        <v>226.94</v>
      </c>
    </row>
    <row r="110" spans="1:6" x14ac:dyDescent="0.15">
      <c r="A110" s="7">
        <v>51</v>
      </c>
      <c r="B110" s="7" t="s">
        <v>532</v>
      </c>
      <c r="C110" s="7" t="s">
        <v>153</v>
      </c>
      <c r="D110" s="7">
        <v>2022</v>
      </c>
      <c r="E110" s="7">
        <v>2</v>
      </c>
      <c r="F110" s="7">
        <v>226.94</v>
      </c>
    </row>
    <row r="111" spans="1:6" x14ac:dyDescent="0.15">
      <c r="A111" s="7">
        <v>51</v>
      </c>
      <c r="B111" s="7" t="s">
        <v>532</v>
      </c>
      <c r="C111" s="7" t="s">
        <v>153</v>
      </c>
      <c r="D111" s="7">
        <v>2022</v>
      </c>
      <c r="E111" s="7">
        <v>3</v>
      </c>
      <c r="F111" s="7">
        <v>226.94</v>
      </c>
    </row>
    <row r="112" spans="1:6" x14ac:dyDescent="0.15">
      <c r="A112" s="7">
        <v>51</v>
      </c>
      <c r="B112" s="7" t="s">
        <v>532</v>
      </c>
      <c r="C112" s="7" t="s">
        <v>153</v>
      </c>
      <c r="D112" s="7">
        <v>2022</v>
      </c>
      <c r="E112" s="7">
        <v>4</v>
      </c>
      <c r="F112" s="7">
        <v>271.47000000000003</v>
      </c>
    </row>
    <row r="113" spans="1:6" x14ac:dyDescent="0.15">
      <c r="A113" s="7">
        <v>51</v>
      </c>
      <c r="B113" s="7" t="s">
        <v>532</v>
      </c>
      <c r="C113" s="7" t="s">
        <v>153</v>
      </c>
      <c r="D113" s="7">
        <v>2022</v>
      </c>
      <c r="E113" s="7">
        <v>5</v>
      </c>
      <c r="F113" s="7">
        <v>271.47000000000003</v>
      </c>
    </row>
    <row r="114" spans="1:6" x14ac:dyDescent="0.15">
      <c r="A114" s="7">
        <v>51</v>
      </c>
      <c r="B114" s="7" t="s">
        <v>532</v>
      </c>
      <c r="C114" s="7" t="s">
        <v>153</v>
      </c>
      <c r="D114" s="7">
        <v>2022</v>
      </c>
      <c r="E114" s="7">
        <v>6</v>
      </c>
      <c r="F114" s="7">
        <v>222.69</v>
      </c>
    </row>
    <row r="115" spans="1:6" x14ac:dyDescent="0.15">
      <c r="A115" s="7">
        <v>51</v>
      </c>
      <c r="B115" s="7" t="s">
        <v>532</v>
      </c>
      <c r="C115" s="7" t="s">
        <v>153</v>
      </c>
      <c r="D115" s="7">
        <v>2022</v>
      </c>
      <c r="E115" s="7">
        <v>7</v>
      </c>
      <c r="F115" s="7">
        <v>215.27</v>
      </c>
    </row>
    <row r="116" spans="1:6" x14ac:dyDescent="0.15">
      <c r="A116" s="7">
        <v>51</v>
      </c>
      <c r="B116" s="7" t="s">
        <v>532</v>
      </c>
      <c r="C116" s="7" t="s">
        <v>153</v>
      </c>
      <c r="D116" s="7">
        <v>2022</v>
      </c>
      <c r="E116" s="7">
        <v>8</v>
      </c>
      <c r="F116" s="7">
        <v>219.51</v>
      </c>
    </row>
    <row r="117" spans="1:6" x14ac:dyDescent="0.15">
      <c r="A117" s="7">
        <v>51</v>
      </c>
      <c r="B117" s="7" t="s">
        <v>532</v>
      </c>
      <c r="C117" s="7" t="s">
        <v>153</v>
      </c>
      <c r="D117" s="7">
        <v>2022</v>
      </c>
      <c r="E117" s="7">
        <v>9</v>
      </c>
      <c r="F117" s="7">
        <v>232.24</v>
      </c>
    </row>
    <row r="118" spans="1:6" x14ac:dyDescent="0.15">
      <c r="A118" s="7">
        <v>51</v>
      </c>
      <c r="B118" s="7" t="s">
        <v>532</v>
      </c>
      <c r="C118" s="7" t="s">
        <v>153</v>
      </c>
      <c r="D118" s="7">
        <v>2022</v>
      </c>
      <c r="E118" s="7">
        <v>10</v>
      </c>
      <c r="F118" s="7">
        <v>235.84</v>
      </c>
    </row>
    <row r="119" spans="1:6" x14ac:dyDescent="0.15">
      <c r="A119" s="7">
        <v>51</v>
      </c>
      <c r="B119" s="7" t="s">
        <v>532</v>
      </c>
      <c r="C119" s="7" t="s">
        <v>153</v>
      </c>
      <c r="D119" s="7">
        <v>2022</v>
      </c>
      <c r="E119" s="7">
        <v>11</v>
      </c>
      <c r="F119" s="7">
        <v>224.81</v>
      </c>
    </row>
    <row r="120" spans="1:6" x14ac:dyDescent="0.15">
      <c r="A120" s="7">
        <v>53</v>
      </c>
      <c r="B120" s="7" t="s">
        <v>154</v>
      </c>
      <c r="C120" s="7" t="s">
        <v>153</v>
      </c>
      <c r="D120" s="7">
        <v>2018</v>
      </c>
      <c r="E120" s="7">
        <v>1</v>
      </c>
      <c r="F120" s="7">
        <v>178.73</v>
      </c>
    </row>
    <row r="121" spans="1:6" x14ac:dyDescent="0.15">
      <c r="A121" s="7">
        <v>53</v>
      </c>
      <c r="B121" s="7" t="s">
        <v>154</v>
      </c>
      <c r="C121" s="7" t="s">
        <v>153</v>
      </c>
      <c r="D121" s="7">
        <v>2018</v>
      </c>
      <c r="E121" s="7">
        <v>2</v>
      </c>
      <c r="F121" s="7">
        <v>186.15</v>
      </c>
    </row>
    <row r="122" spans="1:6" x14ac:dyDescent="0.15">
      <c r="A122" s="7">
        <v>53</v>
      </c>
      <c r="B122" s="7" t="s">
        <v>154</v>
      </c>
      <c r="C122" s="7" t="s">
        <v>153</v>
      </c>
      <c r="D122" s="7">
        <v>2018</v>
      </c>
      <c r="E122" s="7">
        <v>3</v>
      </c>
      <c r="F122" s="7">
        <v>186.15</v>
      </c>
    </row>
    <row r="123" spans="1:6" x14ac:dyDescent="0.15">
      <c r="A123" s="7">
        <v>53</v>
      </c>
      <c r="B123" s="7" t="s">
        <v>154</v>
      </c>
      <c r="C123" s="7" t="s">
        <v>153</v>
      </c>
      <c r="D123" s="7">
        <v>2018</v>
      </c>
      <c r="E123" s="7">
        <v>4</v>
      </c>
      <c r="F123" s="7">
        <v>186.15</v>
      </c>
    </row>
    <row r="124" spans="1:6" x14ac:dyDescent="0.15">
      <c r="A124" s="7">
        <v>53</v>
      </c>
      <c r="B124" s="7" t="s">
        <v>154</v>
      </c>
      <c r="C124" s="7" t="s">
        <v>153</v>
      </c>
      <c r="D124" s="7">
        <v>2018</v>
      </c>
      <c r="E124" s="7">
        <v>5</v>
      </c>
      <c r="F124" s="7">
        <v>191.61</v>
      </c>
    </row>
    <row r="125" spans="1:6" x14ac:dyDescent="0.15">
      <c r="A125" s="7">
        <v>53</v>
      </c>
      <c r="B125" s="7" t="s">
        <v>154</v>
      </c>
      <c r="C125" s="7" t="s">
        <v>153</v>
      </c>
      <c r="D125" s="7">
        <v>2018</v>
      </c>
      <c r="E125" s="7">
        <v>6</v>
      </c>
      <c r="F125" s="7">
        <v>191.61</v>
      </c>
    </row>
    <row r="126" spans="1:6" x14ac:dyDescent="0.15">
      <c r="A126" s="7">
        <v>53</v>
      </c>
      <c r="B126" s="7" t="s">
        <v>154</v>
      </c>
      <c r="C126" s="7" t="s">
        <v>153</v>
      </c>
      <c r="D126" s="7">
        <v>2018</v>
      </c>
      <c r="E126" s="7">
        <v>7</v>
      </c>
      <c r="F126" s="7">
        <v>178.73</v>
      </c>
    </row>
    <row r="127" spans="1:6" x14ac:dyDescent="0.15">
      <c r="A127" s="7">
        <v>53</v>
      </c>
      <c r="B127" s="7" t="s">
        <v>154</v>
      </c>
      <c r="C127" s="7" t="s">
        <v>153</v>
      </c>
      <c r="D127" s="7">
        <v>2018</v>
      </c>
      <c r="E127" s="7">
        <v>8</v>
      </c>
      <c r="F127" s="7">
        <v>178.73</v>
      </c>
    </row>
    <row r="128" spans="1:6" x14ac:dyDescent="0.15">
      <c r="A128" s="7">
        <v>53</v>
      </c>
      <c r="B128" s="7" t="s">
        <v>154</v>
      </c>
      <c r="C128" s="7" t="s">
        <v>153</v>
      </c>
      <c r="D128" s="7">
        <v>2018</v>
      </c>
      <c r="E128" s="7">
        <v>9</v>
      </c>
      <c r="F128" s="7">
        <v>178.73</v>
      </c>
    </row>
    <row r="129" spans="1:6" x14ac:dyDescent="0.15">
      <c r="A129" s="7">
        <v>53</v>
      </c>
      <c r="B129" s="7" t="s">
        <v>154</v>
      </c>
      <c r="C129" s="7" t="s">
        <v>153</v>
      </c>
      <c r="D129" s="7">
        <v>2018</v>
      </c>
      <c r="E129" s="7">
        <v>10</v>
      </c>
      <c r="F129" s="7">
        <v>178.73</v>
      </c>
    </row>
    <row r="130" spans="1:6" x14ac:dyDescent="0.15">
      <c r="A130" s="7">
        <v>53</v>
      </c>
      <c r="B130" s="7" t="s">
        <v>154</v>
      </c>
      <c r="C130" s="7" t="s">
        <v>153</v>
      </c>
      <c r="D130" s="7">
        <v>2018</v>
      </c>
      <c r="E130" s="7">
        <v>11</v>
      </c>
      <c r="F130" s="7">
        <v>193.17</v>
      </c>
    </row>
    <row r="131" spans="1:6" x14ac:dyDescent="0.15">
      <c r="A131" s="7">
        <v>53</v>
      </c>
      <c r="B131" s="7" t="s">
        <v>154</v>
      </c>
      <c r="C131" s="7" t="s">
        <v>153</v>
      </c>
      <c r="D131" s="7">
        <v>2018</v>
      </c>
      <c r="E131" s="7">
        <v>12</v>
      </c>
      <c r="F131" s="7">
        <v>193.17</v>
      </c>
    </row>
    <row r="132" spans="1:6" x14ac:dyDescent="0.15">
      <c r="A132" s="7">
        <v>53</v>
      </c>
      <c r="B132" s="7" t="s">
        <v>154</v>
      </c>
      <c r="C132" s="7" t="s">
        <v>153</v>
      </c>
      <c r="D132" s="7">
        <v>2019</v>
      </c>
      <c r="E132" s="7">
        <v>1</v>
      </c>
      <c r="F132" s="7">
        <v>200.98</v>
      </c>
    </row>
    <row r="133" spans="1:6" x14ac:dyDescent="0.15">
      <c r="A133" s="7">
        <v>53</v>
      </c>
      <c r="B133" s="7" t="s">
        <v>154</v>
      </c>
      <c r="C133" s="7" t="s">
        <v>153</v>
      </c>
      <c r="D133" s="7">
        <v>2019</v>
      </c>
      <c r="E133" s="7">
        <v>2</v>
      </c>
      <c r="F133" s="7">
        <v>209.37</v>
      </c>
    </row>
    <row r="134" spans="1:6" x14ac:dyDescent="0.15">
      <c r="A134" s="7">
        <v>53</v>
      </c>
      <c r="B134" s="7" t="s">
        <v>154</v>
      </c>
      <c r="C134" s="7" t="s">
        <v>153</v>
      </c>
      <c r="D134" s="7">
        <v>2019</v>
      </c>
      <c r="E134" s="7">
        <v>3</v>
      </c>
      <c r="F134" s="7">
        <v>209.37</v>
      </c>
    </row>
    <row r="135" spans="1:6" x14ac:dyDescent="0.15">
      <c r="A135" s="7">
        <v>53</v>
      </c>
      <c r="B135" s="7" t="s">
        <v>154</v>
      </c>
      <c r="C135" s="7" t="s">
        <v>153</v>
      </c>
      <c r="D135" s="7">
        <v>2019</v>
      </c>
      <c r="E135" s="7">
        <v>4</v>
      </c>
      <c r="F135" s="7">
        <v>209.37</v>
      </c>
    </row>
    <row r="136" spans="1:6" x14ac:dyDescent="0.15">
      <c r="A136" s="7">
        <v>53</v>
      </c>
      <c r="B136" s="7" t="s">
        <v>154</v>
      </c>
      <c r="C136" s="7" t="s">
        <v>153</v>
      </c>
      <c r="D136" s="7">
        <v>2019</v>
      </c>
      <c r="E136" s="7">
        <v>5</v>
      </c>
      <c r="F136" s="7">
        <v>200.98</v>
      </c>
    </row>
    <row r="137" spans="1:6" x14ac:dyDescent="0.15">
      <c r="A137" s="7">
        <v>53</v>
      </c>
      <c r="B137" s="7" t="s">
        <v>154</v>
      </c>
      <c r="C137" s="7" t="s">
        <v>153</v>
      </c>
      <c r="D137" s="7">
        <v>2019</v>
      </c>
      <c r="E137" s="7">
        <v>6</v>
      </c>
      <c r="F137" s="7">
        <v>200.98</v>
      </c>
    </row>
    <row r="138" spans="1:6" x14ac:dyDescent="0.15">
      <c r="A138" s="7">
        <v>53</v>
      </c>
      <c r="B138" s="7" t="s">
        <v>154</v>
      </c>
      <c r="C138" s="7" t="s">
        <v>153</v>
      </c>
      <c r="D138" s="7">
        <v>2019</v>
      </c>
      <c r="E138" s="7">
        <v>7</v>
      </c>
      <c r="F138" s="7">
        <v>200.98</v>
      </c>
    </row>
    <row r="139" spans="1:6" x14ac:dyDescent="0.15">
      <c r="A139" s="7">
        <v>53</v>
      </c>
      <c r="B139" s="7" t="s">
        <v>154</v>
      </c>
      <c r="C139" s="7" t="s">
        <v>153</v>
      </c>
      <c r="D139" s="7">
        <v>2019</v>
      </c>
      <c r="E139" s="7">
        <v>8</v>
      </c>
      <c r="F139" s="7">
        <v>193.17</v>
      </c>
    </row>
    <row r="140" spans="1:6" x14ac:dyDescent="0.15">
      <c r="A140" s="7">
        <v>53</v>
      </c>
      <c r="B140" s="7" t="s">
        <v>154</v>
      </c>
      <c r="C140" s="7" t="s">
        <v>153</v>
      </c>
      <c r="D140" s="7">
        <v>2019</v>
      </c>
      <c r="E140" s="7">
        <v>9</v>
      </c>
      <c r="F140" s="7">
        <v>193.17</v>
      </c>
    </row>
    <row r="141" spans="1:6" x14ac:dyDescent="0.15">
      <c r="A141" s="7">
        <v>53</v>
      </c>
      <c r="B141" s="7" t="s">
        <v>154</v>
      </c>
      <c r="C141" s="7" t="s">
        <v>153</v>
      </c>
      <c r="D141" s="7">
        <v>2019</v>
      </c>
      <c r="E141" s="7">
        <v>10</v>
      </c>
      <c r="F141" s="7">
        <v>193.17</v>
      </c>
    </row>
    <row r="142" spans="1:6" x14ac:dyDescent="0.15">
      <c r="A142" s="7">
        <v>53</v>
      </c>
      <c r="B142" s="7" t="s">
        <v>154</v>
      </c>
      <c r="C142" s="7" t="s">
        <v>153</v>
      </c>
      <c r="D142" s="7">
        <v>2019</v>
      </c>
      <c r="E142" s="7">
        <v>11</v>
      </c>
      <c r="F142" s="7">
        <v>193.17</v>
      </c>
    </row>
    <row r="143" spans="1:6" x14ac:dyDescent="0.15">
      <c r="A143" s="7">
        <v>53</v>
      </c>
      <c r="B143" s="7" t="s">
        <v>154</v>
      </c>
      <c r="C143" s="7" t="s">
        <v>153</v>
      </c>
      <c r="D143" s="7">
        <v>2019</v>
      </c>
      <c r="E143" s="7">
        <v>12</v>
      </c>
      <c r="F143" s="7">
        <v>197.07</v>
      </c>
    </row>
    <row r="144" spans="1:6" x14ac:dyDescent="0.15">
      <c r="A144" s="7">
        <v>53</v>
      </c>
      <c r="B144" s="7" t="s">
        <v>154</v>
      </c>
      <c r="C144" s="7" t="s">
        <v>153</v>
      </c>
      <c r="D144" s="7">
        <v>2020</v>
      </c>
      <c r="E144" s="7">
        <v>1</v>
      </c>
      <c r="F144" s="7">
        <v>197.07</v>
      </c>
    </row>
    <row r="145" spans="1:6" x14ac:dyDescent="0.15">
      <c r="A145" s="7">
        <v>53</v>
      </c>
      <c r="B145" s="7" t="s">
        <v>154</v>
      </c>
      <c r="C145" s="7" t="s">
        <v>153</v>
      </c>
      <c r="D145" s="7">
        <v>2020</v>
      </c>
      <c r="E145" s="7">
        <v>2</v>
      </c>
      <c r="F145" s="7">
        <v>199.02</v>
      </c>
    </row>
    <row r="146" spans="1:6" x14ac:dyDescent="0.15">
      <c r="A146" s="7">
        <v>53</v>
      </c>
      <c r="B146" s="7" t="s">
        <v>154</v>
      </c>
      <c r="C146" s="7" t="s">
        <v>153</v>
      </c>
      <c r="D146" s="7">
        <v>2020</v>
      </c>
      <c r="E146" s="7">
        <v>3</v>
      </c>
      <c r="F146" s="7">
        <v>199.02</v>
      </c>
    </row>
    <row r="147" spans="1:6" x14ac:dyDescent="0.15">
      <c r="A147" s="7">
        <v>53</v>
      </c>
      <c r="B147" s="7" t="s">
        <v>154</v>
      </c>
      <c r="C147" s="7" t="s">
        <v>153</v>
      </c>
      <c r="D147" s="7">
        <v>2020</v>
      </c>
      <c r="E147" s="7">
        <v>4</v>
      </c>
      <c r="F147" s="7">
        <v>195.12</v>
      </c>
    </row>
    <row r="148" spans="1:6" x14ac:dyDescent="0.15">
      <c r="A148" s="7">
        <v>53</v>
      </c>
      <c r="B148" s="7" t="s">
        <v>154</v>
      </c>
      <c r="C148" s="7" t="s">
        <v>153</v>
      </c>
      <c r="D148" s="7">
        <v>2020</v>
      </c>
      <c r="E148" s="7">
        <v>5</v>
      </c>
      <c r="F148" s="7">
        <v>195.12</v>
      </c>
    </row>
    <row r="149" spans="1:6" x14ac:dyDescent="0.15">
      <c r="A149" s="7">
        <v>53</v>
      </c>
      <c r="B149" s="7" t="s">
        <v>154</v>
      </c>
      <c r="C149" s="7" t="s">
        <v>153</v>
      </c>
      <c r="D149" s="7">
        <v>2020</v>
      </c>
      <c r="E149" s="7">
        <v>6</v>
      </c>
      <c r="F149" s="7">
        <v>189.27</v>
      </c>
    </row>
    <row r="150" spans="1:6" x14ac:dyDescent="0.15">
      <c r="A150" s="7">
        <v>53</v>
      </c>
      <c r="B150" s="7" t="s">
        <v>154</v>
      </c>
      <c r="C150" s="7" t="s">
        <v>153</v>
      </c>
      <c r="D150" s="7">
        <v>2020</v>
      </c>
      <c r="E150" s="7">
        <v>7</v>
      </c>
      <c r="F150" s="7">
        <v>189.27</v>
      </c>
    </row>
    <row r="151" spans="1:6" x14ac:dyDescent="0.15">
      <c r="A151" s="7">
        <v>53</v>
      </c>
      <c r="B151" s="7" t="s">
        <v>154</v>
      </c>
      <c r="C151" s="7" t="s">
        <v>153</v>
      </c>
      <c r="D151" s="7">
        <v>2020</v>
      </c>
      <c r="E151" s="7">
        <v>8</v>
      </c>
      <c r="F151" s="7">
        <v>172.1</v>
      </c>
    </row>
    <row r="152" spans="1:6" x14ac:dyDescent="0.15">
      <c r="A152" s="7">
        <v>53</v>
      </c>
      <c r="B152" s="7" t="s">
        <v>154</v>
      </c>
      <c r="C152" s="7" t="s">
        <v>153</v>
      </c>
      <c r="D152" s="7">
        <v>2020</v>
      </c>
      <c r="E152" s="7">
        <v>9</v>
      </c>
      <c r="F152" s="7">
        <v>172.1</v>
      </c>
    </row>
    <row r="153" spans="1:6" x14ac:dyDescent="0.15">
      <c r="A153" s="7">
        <v>53</v>
      </c>
      <c r="B153" s="7" t="s">
        <v>154</v>
      </c>
      <c r="C153" s="7" t="s">
        <v>153</v>
      </c>
      <c r="D153" s="7">
        <v>2020</v>
      </c>
      <c r="E153" s="7">
        <v>10</v>
      </c>
      <c r="F153" s="7">
        <v>172.1</v>
      </c>
    </row>
    <row r="154" spans="1:6" x14ac:dyDescent="0.15">
      <c r="A154" s="7">
        <v>53</v>
      </c>
      <c r="B154" s="7" t="s">
        <v>154</v>
      </c>
      <c r="C154" s="7" t="s">
        <v>153</v>
      </c>
      <c r="D154" s="7">
        <v>2020</v>
      </c>
      <c r="E154" s="7">
        <v>11</v>
      </c>
      <c r="F154" s="7">
        <v>172.1</v>
      </c>
    </row>
    <row r="155" spans="1:6" x14ac:dyDescent="0.15">
      <c r="A155" s="7">
        <v>53</v>
      </c>
      <c r="B155" s="7" t="s">
        <v>154</v>
      </c>
      <c r="C155" s="7" t="s">
        <v>153</v>
      </c>
      <c r="D155" s="7">
        <v>2020</v>
      </c>
      <c r="E155" s="7">
        <v>12</v>
      </c>
      <c r="F155" s="7">
        <v>179.9</v>
      </c>
    </row>
    <row r="156" spans="1:6" x14ac:dyDescent="0.15">
      <c r="A156" s="7">
        <v>53</v>
      </c>
      <c r="B156" s="7" t="s">
        <v>154</v>
      </c>
      <c r="C156" s="7" t="s">
        <v>153</v>
      </c>
      <c r="D156" s="7">
        <v>2021</v>
      </c>
      <c r="E156" s="7">
        <v>1</v>
      </c>
      <c r="F156" s="7">
        <v>179.9</v>
      </c>
    </row>
    <row r="157" spans="1:6" x14ac:dyDescent="0.15">
      <c r="A157" s="7">
        <v>53</v>
      </c>
      <c r="B157" s="7" t="s">
        <v>154</v>
      </c>
      <c r="C157" s="7" t="s">
        <v>153</v>
      </c>
      <c r="D157" s="7">
        <v>2021</v>
      </c>
      <c r="E157" s="7">
        <v>2</v>
      </c>
      <c r="F157" s="7">
        <v>185.76</v>
      </c>
    </row>
    <row r="158" spans="1:6" x14ac:dyDescent="0.15">
      <c r="A158" s="7">
        <v>53</v>
      </c>
      <c r="B158" s="7" t="s">
        <v>154</v>
      </c>
      <c r="C158" s="7" t="s">
        <v>153</v>
      </c>
      <c r="D158" s="7">
        <v>2021</v>
      </c>
      <c r="E158" s="7">
        <v>3</v>
      </c>
      <c r="F158" s="7">
        <v>185.76</v>
      </c>
    </row>
    <row r="159" spans="1:6" x14ac:dyDescent="0.15">
      <c r="A159" s="7">
        <v>53</v>
      </c>
      <c r="B159" s="7" t="s">
        <v>154</v>
      </c>
      <c r="C159" s="7" t="s">
        <v>153</v>
      </c>
      <c r="D159" s="7">
        <v>2021</v>
      </c>
      <c r="E159" s="7">
        <v>4</v>
      </c>
      <c r="F159" s="7">
        <v>201.76</v>
      </c>
    </row>
    <row r="160" spans="1:6" x14ac:dyDescent="0.15">
      <c r="A160" s="7">
        <v>53</v>
      </c>
      <c r="B160" s="7" t="s">
        <v>154</v>
      </c>
      <c r="C160" s="7" t="s">
        <v>153</v>
      </c>
      <c r="D160" s="7">
        <v>2021</v>
      </c>
      <c r="E160" s="7">
        <v>5</v>
      </c>
      <c r="F160" s="7">
        <v>201.76</v>
      </c>
    </row>
    <row r="161" spans="1:6" x14ac:dyDescent="0.15">
      <c r="A161" s="7">
        <v>53</v>
      </c>
      <c r="B161" s="7" t="s">
        <v>154</v>
      </c>
      <c r="C161" s="7" t="s">
        <v>153</v>
      </c>
      <c r="D161" s="7">
        <v>2021</v>
      </c>
      <c r="E161" s="7">
        <v>6</v>
      </c>
      <c r="F161" s="7">
        <v>213.85</v>
      </c>
    </row>
    <row r="162" spans="1:6" x14ac:dyDescent="0.15">
      <c r="A162" s="7">
        <v>53</v>
      </c>
      <c r="B162" s="7" t="s">
        <v>154</v>
      </c>
      <c r="C162" s="7" t="s">
        <v>153</v>
      </c>
      <c r="D162" s="7">
        <v>2021</v>
      </c>
      <c r="E162" s="7">
        <v>7</v>
      </c>
      <c r="F162" s="7">
        <v>213.85</v>
      </c>
    </row>
    <row r="163" spans="1:6" x14ac:dyDescent="0.15">
      <c r="A163" s="7">
        <v>53</v>
      </c>
      <c r="B163" s="7" t="s">
        <v>154</v>
      </c>
      <c r="C163" s="7" t="s">
        <v>153</v>
      </c>
      <c r="D163" s="7">
        <v>2021</v>
      </c>
      <c r="E163" s="7">
        <v>8</v>
      </c>
      <c r="F163" s="7">
        <v>213.85</v>
      </c>
    </row>
    <row r="164" spans="1:6" x14ac:dyDescent="0.15">
      <c r="A164" s="7">
        <v>53</v>
      </c>
      <c r="B164" s="7" t="s">
        <v>154</v>
      </c>
      <c r="C164" s="7" t="s">
        <v>153</v>
      </c>
      <c r="D164" s="7">
        <v>2021</v>
      </c>
      <c r="E164" s="7">
        <v>9</v>
      </c>
      <c r="F164" s="7">
        <v>206.05</v>
      </c>
    </row>
    <row r="165" spans="1:6" x14ac:dyDescent="0.15">
      <c r="A165" s="7">
        <v>53</v>
      </c>
      <c r="B165" s="7" t="s">
        <v>154</v>
      </c>
      <c r="C165" s="7" t="s">
        <v>153</v>
      </c>
      <c r="D165" s="7">
        <v>2021</v>
      </c>
      <c r="E165" s="7">
        <v>10</v>
      </c>
      <c r="F165" s="7">
        <v>221.66</v>
      </c>
    </row>
    <row r="166" spans="1:6" x14ac:dyDescent="0.15">
      <c r="A166" s="7">
        <v>53</v>
      </c>
      <c r="B166" s="7" t="s">
        <v>154</v>
      </c>
      <c r="C166" s="7" t="s">
        <v>153</v>
      </c>
      <c r="D166" s="7">
        <v>2021</v>
      </c>
      <c r="E166" s="7">
        <v>11</v>
      </c>
      <c r="F166" s="7">
        <v>221.66</v>
      </c>
    </row>
    <row r="167" spans="1:6" x14ac:dyDescent="0.15">
      <c r="A167" s="7">
        <v>53</v>
      </c>
      <c r="B167" s="7" t="s">
        <v>154</v>
      </c>
      <c r="C167" s="7" t="s">
        <v>153</v>
      </c>
      <c r="D167" s="7">
        <v>2021</v>
      </c>
      <c r="E167" s="7">
        <v>12</v>
      </c>
      <c r="F167" s="7">
        <v>345.37</v>
      </c>
    </row>
    <row r="168" spans="1:6" x14ac:dyDescent="0.15">
      <c r="A168" s="7">
        <v>53</v>
      </c>
      <c r="B168" s="7" t="s">
        <v>154</v>
      </c>
      <c r="C168" s="7" t="s">
        <v>153</v>
      </c>
      <c r="D168" s="7">
        <v>2022</v>
      </c>
      <c r="E168" s="7">
        <v>1</v>
      </c>
      <c r="F168" s="7">
        <v>345.37</v>
      </c>
    </row>
    <row r="169" spans="1:6" x14ac:dyDescent="0.15">
      <c r="A169" s="7">
        <v>53</v>
      </c>
      <c r="B169" s="7" t="s">
        <v>154</v>
      </c>
      <c r="C169" s="7" t="s">
        <v>153</v>
      </c>
      <c r="D169" s="7">
        <v>2022</v>
      </c>
      <c r="E169" s="7">
        <v>2</v>
      </c>
      <c r="F169" s="7">
        <v>345.37</v>
      </c>
    </row>
    <row r="170" spans="1:6" x14ac:dyDescent="0.15">
      <c r="A170" s="7">
        <v>53</v>
      </c>
      <c r="B170" s="7" t="s">
        <v>154</v>
      </c>
      <c r="C170" s="7" t="s">
        <v>153</v>
      </c>
      <c r="D170" s="7">
        <v>2022</v>
      </c>
      <c r="E170" s="7">
        <v>3</v>
      </c>
      <c r="F170" s="7">
        <v>345.37</v>
      </c>
    </row>
    <row r="171" spans="1:6" x14ac:dyDescent="0.15">
      <c r="A171" s="7">
        <v>53</v>
      </c>
      <c r="B171" s="7" t="s">
        <v>154</v>
      </c>
      <c r="C171" s="7" t="s">
        <v>153</v>
      </c>
      <c r="D171" s="7">
        <v>2022</v>
      </c>
      <c r="E171" s="7">
        <v>4</v>
      </c>
      <c r="F171" s="7">
        <v>407.8</v>
      </c>
    </row>
    <row r="172" spans="1:6" x14ac:dyDescent="0.15">
      <c r="A172" s="7">
        <v>53</v>
      </c>
      <c r="B172" s="7" t="s">
        <v>154</v>
      </c>
      <c r="C172" s="7" t="s">
        <v>153</v>
      </c>
      <c r="D172" s="7">
        <v>2022</v>
      </c>
      <c r="E172" s="7">
        <v>5</v>
      </c>
      <c r="F172" s="7">
        <v>407.8</v>
      </c>
    </row>
    <row r="173" spans="1:6" x14ac:dyDescent="0.15">
      <c r="A173" s="7">
        <v>53</v>
      </c>
      <c r="B173" s="7" t="s">
        <v>154</v>
      </c>
      <c r="C173" s="7" t="s">
        <v>153</v>
      </c>
      <c r="D173" s="7">
        <v>2022</v>
      </c>
      <c r="E173" s="7">
        <v>6</v>
      </c>
      <c r="F173" s="7">
        <v>368.78</v>
      </c>
    </row>
    <row r="174" spans="1:6" x14ac:dyDescent="0.15">
      <c r="A174" s="7">
        <v>53</v>
      </c>
      <c r="B174" s="7" t="s">
        <v>154</v>
      </c>
      <c r="C174" s="7" t="s">
        <v>153</v>
      </c>
      <c r="D174" s="7">
        <v>2022</v>
      </c>
      <c r="E174" s="7">
        <v>7</v>
      </c>
      <c r="F174" s="7">
        <v>334.44</v>
      </c>
    </row>
    <row r="175" spans="1:6" x14ac:dyDescent="0.15">
      <c r="A175" s="7">
        <v>53</v>
      </c>
      <c r="B175" s="7" t="s">
        <v>154</v>
      </c>
      <c r="C175" s="7" t="s">
        <v>153</v>
      </c>
      <c r="D175" s="7">
        <v>2022</v>
      </c>
      <c r="E175" s="7">
        <v>8</v>
      </c>
      <c r="F175" s="7">
        <v>395.32</v>
      </c>
    </row>
    <row r="176" spans="1:6" x14ac:dyDescent="0.15">
      <c r="A176" s="7">
        <v>53</v>
      </c>
      <c r="B176" s="7" t="s">
        <v>154</v>
      </c>
      <c r="C176" s="7" t="s">
        <v>153</v>
      </c>
      <c r="D176" s="7">
        <v>2022</v>
      </c>
      <c r="E176" s="7">
        <v>9</v>
      </c>
      <c r="F176" s="7">
        <v>410.93</v>
      </c>
    </row>
    <row r="177" spans="1:6" x14ac:dyDescent="0.15">
      <c r="A177" s="7">
        <v>53</v>
      </c>
      <c r="B177" s="7" t="s">
        <v>154</v>
      </c>
      <c r="C177" s="7" t="s">
        <v>153</v>
      </c>
      <c r="D177" s="7">
        <v>2022</v>
      </c>
      <c r="E177" s="7">
        <v>10</v>
      </c>
      <c r="F177" s="7">
        <v>412.88</v>
      </c>
    </row>
    <row r="178" spans="1:6" x14ac:dyDescent="0.15">
      <c r="A178" s="7">
        <v>53</v>
      </c>
      <c r="B178" s="7" t="s">
        <v>154</v>
      </c>
      <c r="C178" s="7" t="s">
        <v>153</v>
      </c>
      <c r="D178" s="7">
        <v>2022</v>
      </c>
      <c r="E178" s="7">
        <v>11</v>
      </c>
      <c r="F178" s="7">
        <v>403.12</v>
      </c>
    </row>
    <row r="179" spans="1:6" x14ac:dyDescent="0.15">
      <c r="A179" s="7">
        <v>54</v>
      </c>
      <c r="B179" s="7" t="s">
        <v>155</v>
      </c>
      <c r="C179" s="7" t="s">
        <v>153</v>
      </c>
      <c r="D179" s="7">
        <v>2018</v>
      </c>
      <c r="E179" s="7">
        <v>1</v>
      </c>
      <c r="F179" s="7">
        <v>182.63</v>
      </c>
    </row>
    <row r="180" spans="1:6" x14ac:dyDescent="0.15">
      <c r="A180" s="7">
        <v>54</v>
      </c>
      <c r="B180" s="7" t="s">
        <v>155</v>
      </c>
      <c r="C180" s="7" t="s">
        <v>153</v>
      </c>
      <c r="D180" s="7">
        <v>2018</v>
      </c>
      <c r="E180" s="7">
        <v>2</v>
      </c>
      <c r="F180" s="7">
        <v>190.05</v>
      </c>
    </row>
    <row r="181" spans="1:6" x14ac:dyDescent="0.15">
      <c r="A181" s="7">
        <v>54</v>
      </c>
      <c r="B181" s="7" t="s">
        <v>155</v>
      </c>
      <c r="C181" s="7" t="s">
        <v>153</v>
      </c>
      <c r="D181" s="7">
        <v>2018</v>
      </c>
      <c r="E181" s="7">
        <v>3</v>
      </c>
      <c r="F181" s="7">
        <v>190.05</v>
      </c>
    </row>
    <row r="182" spans="1:6" x14ac:dyDescent="0.15">
      <c r="A182" s="7">
        <v>54</v>
      </c>
      <c r="B182" s="7" t="s">
        <v>155</v>
      </c>
      <c r="C182" s="7" t="s">
        <v>153</v>
      </c>
      <c r="D182" s="7">
        <v>2018</v>
      </c>
      <c r="E182" s="7">
        <v>4</v>
      </c>
      <c r="F182" s="7">
        <v>190.05</v>
      </c>
    </row>
    <row r="183" spans="1:6" x14ac:dyDescent="0.15">
      <c r="A183" s="7">
        <v>54</v>
      </c>
      <c r="B183" s="7" t="s">
        <v>155</v>
      </c>
      <c r="C183" s="7" t="s">
        <v>153</v>
      </c>
      <c r="D183" s="7">
        <v>2018</v>
      </c>
      <c r="E183" s="7">
        <v>5</v>
      </c>
      <c r="F183" s="7">
        <v>195.51</v>
      </c>
    </row>
    <row r="184" spans="1:6" x14ac:dyDescent="0.15">
      <c r="A184" s="7">
        <v>54</v>
      </c>
      <c r="B184" s="7" t="s">
        <v>155</v>
      </c>
      <c r="C184" s="7" t="s">
        <v>153</v>
      </c>
      <c r="D184" s="7">
        <v>2018</v>
      </c>
      <c r="E184" s="7">
        <v>6</v>
      </c>
      <c r="F184" s="7">
        <v>195.51</v>
      </c>
    </row>
    <row r="185" spans="1:6" x14ac:dyDescent="0.15">
      <c r="A185" s="7">
        <v>54</v>
      </c>
      <c r="B185" s="7" t="s">
        <v>155</v>
      </c>
      <c r="C185" s="7" t="s">
        <v>153</v>
      </c>
      <c r="D185" s="7">
        <v>2018</v>
      </c>
      <c r="E185" s="7">
        <v>7</v>
      </c>
      <c r="F185" s="7">
        <v>182.63</v>
      </c>
    </row>
    <row r="186" spans="1:6" x14ac:dyDescent="0.15">
      <c r="A186" s="7">
        <v>54</v>
      </c>
      <c r="B186" s="7" t="s">
        <v>155</v>
      </c>
      <c r="C186" s="7" t="s">
        <v>153</v>
      </c>
      <c r="D186" s="7">
        <v>2018</v>
      </c>
      <c r="E186" s="7">
        <v>8</v>
      </c>
      <c r="F186" s="7">
        <v>182.63</v>
      </c>
    </row>
    <row r="187" spans="1:6" x14ac:dyDescent="0.15">
      <c r="A187" s="7">
        <v>54</v>
      </c>
      <c r="B187" s="7" t="s">
        <v>155</v>
      </c>
      <c r="C187" s="7" t="s">
        <v>153</v>
      </c>
      <c r="D187" s="7">
        <v>2018</v>
      </c>
      <c r="E187" s="7">
        <v>9</v>
      </c>
      <c r="F187" s="7">
        <v>182.63</v>
      </c>
    </row>
    <row r="188" spans="1:6" x14ac:dyDescent="0.15">
      <c r="A188" s="7">
        <v>54</v>
      </c>
      <c r="B188" s="7" t="s">
        <v>155</v>
      </c>
      <c r="C188" s="7" t="s">
        <v>153</v>
      </c>
      <c r="D188" s="7">
        <v>2018</v>
      </c>
      <c r="E188" s="7">
        <v>10</v>
      </c>
      <c r="F188" s="7">
        <v>182.63</v>
      </c>
    </row>
    <row r="189" spans="1:6" x14ac:dyDescent="0.15">
      <c r="A189" s="7">
        <v>54</v>
      </c>
      <c r="B189" s="7" t="s">
        <v>155</v>
      </c>
      <c r="C189" s="7" t="s">
        <v>153</v>
      </c>
      <c r="D189" s="7">
        <v>2018</v>
      </c>
      <c r="E189" s="7">
        <v>11</v>
      </c>
      <c r="F189" s="7">
        <v>193.17</v>
      </c>
    </row>
    <row r="190" spans="1:6" x14ac:dyDescent="0.15">
      <c r="A190" s="7">
        <v>452</v>
      </c>
      <c r="B190" s="7" t="s">
        <v>154</v>
      </c>
      <c r="C190" s="7" t="s">
        <v>153</v>
      </c>
      <c r="D190" s="7">
        <v>2018</v>
      </c>
      <c r="E190" s="7">
        <v>12</v>
      </c>
      <c r="F190" s="7">
        <v>193.17</v>
      </c>
    </row>
    <row r="191" spans="1:6" x14ac:dyDescent="0.15">
      <c r="A191" s="7">
        <v>452</v>
      </c>
      <c r="B191" s="7" t="s">
        <v>154</v>
      </c>
      <c r="C191" s="7" t="s">
        <v>153</v>
      </c>
      <c r="D191" s="7">
        <v>2019</v>
      </c>
      <c r="E191" s="7">
        <v>1</v>
      </c>
      <c r="F191" s="7">
        <v>200.98</v>
      </c>
    </row>
    <row r="192" spans="1:6" x14ac:dyDescent="0.15">
      <c r="A192" s="7">
        <v>452</v>
      </c>
      <c r="B192" s="7" t="s">
        <v>154</v>
      </c>
      <c r="C192" s="7" t="s">
        <v>153</v>
      </c>
      <c r="D192" s="7">
        <v>2019</v>
      </c>
      <c r="E192" s="7">
        <v>2</v>
      </c>
      <c r="F192" s="7">
        <v>209.37</v>
      </c>
    </row>
    <row r="193" spans="1:6" x14ac:dyDescent="0.15">
      <c r="A193" s="7">
        <v>452</v>
      </c>
      <c r="B193" s="7" t="s">
        <v>154</v>
      </c>
      <c r="C193" s="7" t="s">
        <v>153</v>
      </c>
      <c r="D193" s="7">
        <v>2019</v>
      </c>
      <c r="E193" s="7">
        <v>3</v>
      </c>
      <c r="F193" s="7">
        <v>209.37</v>
      </c>
    </row>
    <row r="194" spans="1:6" x14ac:dyDescent="0.15">
      <c r="A194" s="7">
        <v>452</v>
      </c>
      <c r="B194" s="7" t="s">
        <v>154</v>
      </c>
      <c r="C194" s="7" t="s">
        <v>153</v>
      </c>
      <c r="D194" s="7">
        <v>2019</v>
      </c>
      <c r="E194" s="7">
        <v>4</v>
      </c>
      <c r="F194" s="7">
        <v>209.37</v>
      </c>
    </row>
    <row r="195" spans="1:6" x14ac:dyDescent="0.15">
      <c r="A195" s="7">
        <v>452</v>
      </c>
      <c r="B195" s="7" t="s">
        <v>154</v>
      </c>
      <c r="C195" s="7" t="s">
        <v>153</v>
      </c>
      <c r="D195" s="7">
        <v>2019</v>
      </c>
      <c r="E195" s="7">
        <v>5</v>
      </c>
      <c r="F195" s="7">
        <v>200.98</v>
      </c>
    </row>
    <row r="196" spans="1:6" x14ac:dyDescent="0.15">
      <c r="A196" s="7">
        <v>452</v>
      </c>
      <c r="B196" s="7" t="s">
        <v>154</v>
      </c>
      <c r="C196" s="7" t="s">
        <v>153</v>
      </c>
      <c r="D196" s="7">
        <v>2019</v>
      </c>
      <c r="E196" s="7">
        <v>6</v>
      </c>
      <c r="F196" s="7">
        <v>200.98</v>
      </c>
    </row>
    <row r="197" spans="1:6" x14ac:dyDescent="0.15">
      <c r="A197" s="7">
        <v>452</v>
      </c>
      <c r="B197" s="7" t="s">
        <v>154</v>
      </c>
      <c r="C197" s="7" t="s">
        <v>153</v>
      </c>
      <c r="D197" s="7">
        <v>2019</v>
      </c>
      <c r="E197" s="7">
        <v>7</v>
      </c>
      <c r="F197" s="7">
        <v>200.98</v>
      </c>
    </row>
    <row r="198" spans="1:6" x14ac:dyDescent="0.15">
      <c r="A198" s="7">
        <v>452</v>
      </c>
      <c r="B198" s="7" t="s">
        <v>154</v>
      </c>
      <c r="C198" s="7" t="s">
        <v>153</v>
      </c>
      <c r="D198" s="7">
        <v>2019</v>
      </c>
      <c r="E198" s="7">
        <v>8</v>
      </c>
      <c r="F198" s="7">
        <v>193.17</v>
      </c>
    </row>
    <row r="199" spans="1:6" x14ac:dyDescent="0.15">
      <c r="A199" s="7">
        <v>452</v>
      </c>
      <c r="B199" s="7" t="s">
        <v>154</v>
      </c>
      <c r="C199" s="7" t="s">
        <v>153</v>
      </c>
      <c r="D199" s="7">
        <v>2019</v>
      </c>
      <c r="E199" s="7">
        <v>9</v>
      </c>
      <c r="F199" s="7">
        <v>193.17</v>
      </c>
    </row>
    <row r="200" spans="1:6" x14ac:dyDescent="0.15">
      <c r="A200" s="7">
        <v>452</v>
      </c>
      <c r="B200" s="7" t="s">
        <v>154</v>
      </c>
      <c r="C200" s="7" t="s">
        <v>153</v>
      </c>
      <c r="D200" s="7">
        <v>2019</v>
      </c>
      <c r="E200" s="7">
        <v>10</v>
      </c>
      <c r="F200" s="7">
        <v>193.17</v>
      </c>
    </row>
    <row r="201" spans="1:6" x14ac:dyDescent="0.15">
      <c r="A201" s="7">
        <v>452</v>
      </c>
      <c r="B201" s="7" t="s">
        <v>154</v>
      </c>
      <c r="C201" s="7" t="s">
        <v>153</v>
      </c>
      <c r="D201" s="7">
        <v>2019</v>
      </c>
      <c r="E201" s="7">
        <v>11</v>
      </c>
      <c r="F201" s="7">
        <v>193.17</v>
      </c>
    </row>
    <row r="202" spans="1:6" x14ac:dyDescent="0.15">
      <c r="A202" s="7">
        <v>452</v>
      </c>
      <c r="B202" s="7" t="s">
        <v>154</v>
      </c>
      <c r="C202" s="7" t="s">
        <v>153</v>
      </c>
      <c r="D202" s="7">
        <v>2019</v>
      </c>
      <c r="E202" s="7">
        <v>12</v>
      </c>
      <c r="F202" s="7">
        <v>197.07</v>
      </c>
    </row>
    <row r="203" spans="1:6" x14ac:dyDescent="0.15">
      <c r="A203" s="7">
        <v>452</v>
      </c>
      <c r="B203" s="7" t="s">
        <v>154</v>
      </c>
      <c r="C203" s="7" t="s">
        <v>153</v>
      </c>
      <c r="D203" s="7">
        <v>2020</v>
      </c>
      <c r="E203" s="7">
        <v>1</v>
      </c>
      <c r="F203" s="7">
        <v>197.07</v>
      </c>
    </row>
    <row r="204" spans="1:6" x14ac:dyDescent="0.15">
      <c r="A204" s="7">
        <v>452</v>
      </c>
      <c r="B204" s="7" t="s">
        <v>154</v>
      </c>
      <c r="C204" s="7" t="s">
        <v>153</v>
      </c>
      <c r="D204" s="7">
        <v>2020</v>
      </c>
      <c r="E204" s="7">
        <v>2</v>
      </c>
      <c r="F204" s="7">
        <v>199.02</v>
      </c>
    </row>
    <row r="205" spans="1:6" x14ac:dyDescent="0.15">
      <c r="A205" s="7">
        <v>452</v>
      </c>
      <c r="B205" s="7" t="s">
        <v>154</v>
      </c>
      <c r="C205" s="7" t="s">
        <v>153</v>
      </c>
      <c r="D205" s="7">
        <v>2020</v>
      </c>
      <c r="E205" s="7">
        <v>3</v>
      </c>
      <c r="F205" s="7">
        <v>199.02</v>
      </c>
    </row>
    <row r="206" spans="1:6" x14ac:dyDescent="0.15">
      <c r="A206" s="7">
        <v>452</v>
      </c>
      <c r="B206" s="7" t="s">
        <v>154</v>
      </c>
      <c r="C206" s="7" t="s">
        <v>153</v>
      </c>
      <c r="D206" s="7">
        <v>2020</v>
      </c>
      <c r="E206" s="7">
        <v>4</v>
      </c>
      <c r="F206" s="7">
        <v>195.12</v>
      </c>
    </row>
    <row r="207" spans="1:6" x14ac:dyDescent="0.15">
      <c r="A207" s="7">
        <v>452</v>
      </c>
      <c r="B207" s="7" t="s">
        <v>154</v>
      </c>
      <c r="C207" s="7" t="s">
        <v>153</v>
      </c>
      <c r="D207" s="7">
        <v>2020</v>
      </c>
      <c r="E207" s="7">
        <v>5</v>
      </c>
      <c r="F207" s="7">
        <v>195.12</v>
      </c>
    </row>
    <row r="208" spans="1:6" x14ac:dyDescent="0.15">
      <c r="A208" s="7">
        <v>452</v>
      </c>
      <c r="B208" s="7" t="s">
        <v>154</v>
      </c>
      <c r="C208" s="7" t="s">
        <v>153</v>
      </c>
      <c r="D208" s="7">
        <v>2020</v>
      </c>
      <c r="E208" s="7">
        <v>6</v>
      </c>
      <c r="F208" s="7">
        <v>189.27</v>
      </c>
    </row>
    <row r="209" spans="1:6" x14ac:dyDescent="0.15">
      <c r="A209" s="7">
        <v>452</v>
      </c>
      <c r="B209" s="7" t="s">
        <v>154</v>
      </c>
      <c r="C209" s="7" t="s">
        <v>153</v>
      </c>
      <c r="D209" s="7">
        <v>2020</v>
      </c>
      <c r="E209" s="7">
        <v>7</v>
      </c>
      <c r="F209" s="7">
        <v>189.27</v>
      </c>
    </row>
    <row r="210" spans="1:6" x14ac:dyDescent="0.15">
      <c r="A210" s="7">
        <v>452</v>
      </c>
      <c r="B210" s="7" t="s">
        <v>154</v>
      </c>
      <c r="C210" s="7" t="s">
        <v>153</v>
      </c>
      <c r="D210" s="7">
        <v>2020</v>
      </c>
      <c r="E210" s="7">
        <v>8</v>
      </c>
      <c r="F210" s="7">
        <v>172.1</v>
      </c>
    </row>
    <row r="211" spans="1:6" x14ac:dyDescent="0.15">
      <c r="A211" s="7">
        <v>452</v>
      </c>
      <c r="B211" s="7" t="s">
        <v>154</v>
      </c>
      <c r="C211" s="7" t="s">
        <v>153</v>
      </c>
      <c r="D211" s="7">
        <v>2020</v>
      </c>
      <c r="E211" s="7">
        <v>9</v>
      </c>
      <c r="F211" s="7">
        <v>172.1</v>
      </c>
    </row>
    <row r="212" spans="1:6" x14ac:dyDescent="0.15">
      <c r="A212" s="7">
        <v>452</v>
      </c>
      <c r="B212" s="7" t="s">
        <v>154</v>
      </c>
      <c r="C212" s="7" t="s">
        <v>153</v>
      </c>
      <c r="D212" s="7">
        <v>2020</v>
      </c>
      <c r="E212" s="7">
        <v>10</v>
      </c>
      <c r="F212" s="7">
        <v>172.1</v>
      </c>
    </row>
    <row r="213" spans="1:6" x14ac:dyDescent="0.15">
      <c r="A213" s="7">
        <v>452</v>
      </c>
      <c r="B213" s="7" t="s">
        <v>154</v>
      </c>
      <c r="C213" s="7" t="s">
        <v>153</v>
      </c>
      <c r="D213" s="7">
        <v>2020</v>
      </c>
      <c r="E213" s="7">
        <v>11</v>
      </c>
      <c r="F213" s="7">
        <v>172.1</v>
      </c>
    </row>
    <row r="214" spans="1:6" x14ac:dyDescent="0.15">
      <c r="A214" s="7">
        <v>452</v>
      </c>
      <c r="B214" s="7" t="s">
        <v>154</v>
      </c>
      <c r="C214" s="7" t="s">
        <v>153</v>
      </c>
      <c r="D214" s="7">
        <v>2020</v>
      </c>
      <c r="E214" s="7">
        <v>12</v>
      </c>
      <c r="F214" s="7">
        <v>179.9</v>
      </c>
    </row>
    <row r="215" spans="1:6" x14ac:dyDescent="0.15">
      <c r="A215" s="7">
        <v>452</v>
      </c>
      <c r="B215" s="7" t="s">
        <v>154</v>
      </c>
      <c r="C215" s="7" t="s">
        <v>153</v>
      </c>
      <c r="D215" s="7">
        <v>2021</v>
      </c>
      <c r="E215" s="7">
        <v>1</v>
      </c>
      <c r="F215" s="7">
        <v>179.9</v>
      </c>
    </row>
    <row r="216" spans="1:6" x14ac:dyDescent="0.15">
      <c r="A216" s="7">
        <v>452</v>
      </c>
      <c r="B216" s="7" t="s">
        <v>154</v>
      </c>
      <c r="C216" s="7" t="s">
        <v>153</v>
      </c>
      <c r="D216" s="7">
        <v>2021</v>
      </c>
      <c r="E216" s="7">
        <v>2</v>
      </c>
      <c r="F216" s="7">
        <v>185.76</v>
      </c>
    </row>
    <row r="217" spans="1:6" x14ac:dyDescent="0.15">
      <c r="A217" s="7">
        <v>452</v>
      </c>
      <c r="B217" s="7" t="s">
        <v>154</v>
      </c>
      <c r="C217" s="7" t="s">
        <v>153</v>
      </c>
      <c r="D217" s="7">
        <v>2021</v>
      </c>
      <c r="E217" s="7">
        <v>3</v>
      </c>
      <c r="F217" s="7">
        <v>185.76</v>
      </c>
    </row>
    <row r="218" spans="1:6" x14ac:dyDescent="0.15">
      <c r="A218" s="7">
        <v>452</v>
      </c>
      <c r="B218" s="7" t="s">
        <v>154</v>
      </c>
      <c r="C218" s="7" t="s">
        <v>153</v>
      </c>
      <c r="D218" s="7">
        <v>2021</v>
      </c>
      <c r="E218" s="7">
        <v>4</v>
      </c>
      <c r="F218" s="7">
        <v>201.76</v>
      </c>
    </row>
    <row r="219" spans="1:6" x14ac:dyDescent="0.15">
      <c r="A219" s="7">
        <v>452</v>
      </c>
      <c r="B219" s="7" t="s">
        <v>154</v>
      </c>
      <c r="C219" s="7" t="s">
        <v>153</v>
      </c>
      <c r="D219" s="7">
        <v>2021</v>
      </c>
      <c r="E219" s="7">
        <v>5</v>
      </c>
      <c r="F219" s="7">
        <v>201.76</v>
      </c>
    </row>
    <row r="220" spans="1:6" x14ac:dyDescent="0.15">
      <c r="A220" s="7">
        <v>452</v>
      </c>
      <c r="B220" s="7" t="s">
        <v>154</v>
      </c>
      <c r="C220" s="7" t="s">
        <v>153</v>
      </c>
      <c r="D220" s="7">
        <v>2021</v>
      </c>
      <c r="E220" s="7">
        <v>6</v>
      </c>
      <c r="F220" s="7">
        <v>213.85</v>
      </c>
    </row>
    <row r="221" spans="1:6" x14ac:dyDescent="0.15">
      <c r="A221" s="7">
        <v>452</v>
      </c>
      <c r="B221" s="7" t="s">
        <v>154</v>
      </c>
      <c r="C221" s="7" t="s">
        <v>153</v>
      </c>
      <c r="D221" s="7">
        <v>2021</v>
      </c>
      <c r="E221" s="7">
        <v>7</v>
      </c>
      <c r="F221" s="7">
        <v>213.85</v>
      </c>
    </row>
    <row r="222" spans="1:6" x14ac:dyDescent="0.15">
      <c r="A222" s="7">
        <v>452</v>
      </c>
      <c r="B222" s="7" t="s">
        <v>154</v>
      </c>
      <c r="C222" s="7" t="s">
        <v>153</v>
      </c>
      <c r="D222" s="7">
        <v>2021</v>
      </c>
      <c r="E222" s="7">
        <v>8</v>
      </c>
      <c r="F222" s="7">
        <v>213.85</v>
      </c>
    </row>
    <row r="223" spans="1:6" x14ac:dyDescent="0.15">
      <c r="A223" s="7">
        <v>452</v>
      </c>
      <c r="B223" s="7" t="s">
        <v>154</v>
      </c>
      <c r="C223" s="7" t="s">
        <v>153</v>
      </c>
      <c r="D223" s="7">
        <v>2021</v>
      </c>
      <c r="E223" s="7">
        <v>9</v>
      </c>
      <c r="F223" s="7">
        <v>206.05</v>
      </c>
    </row>
    <row r="224" spans="1:6" x14ac:dyDescent="0.15">
      <c r="A224" s="7">
        <v>452</v>
      </c>
      <c r="B224" s="7" t="s">
        <v>154</v>
      </c>
      <c r="C224" s="7" t="s">
        <v>153</v>
      </c>
      <c r="D224" s="7">
        <v>2021</v>
      </c>
      <c r="E224" s="7">
        <v>10</v>
      </c>
      <c r="F224" s="7">
        <v>221.66</v>
      </c>
    </row>
    <row r="225" spans="1:6" x14ac:dyDescent="0.15">
      <c r="A225" s="7">
        <v>452</v>
      </c>
      <c r="B225" s="7" t="s">
        <v>154</v>
      </c>
      <c r="C225" s="7" t="s">
        <v>153</v>
      </c>
      <c r="D225" s="7">
        <v>2021</v>
      </c>
      <c r="E225" s="7">
        <v>11</v>
      </c>
      <c r="F225" s="7">
        <v>221.66</v>
      </c>
    </row>
    <row r="226" spans="1:6" x14ac:dyDescent="0.15">
      <c r="A226" s="7">
        <v>452</v>
      </c>
      <c r="B226" s="7" t="s">
        <v>154</v>
      </c>
      <c r="C226" s="7" t="s">
        <v>153</v>
      </c>
      <c r="D226" s="7">
        <v>2021</v>
      </c>
      <c r="E226" s="7">
        <v>12</v>
      </c>
      <c r="F226" s="7">
        <v>345.37</v>
      </c>
    </row>
    <row r="227" spans="1:6" x14ac:dyDescent="0.15">
      <c r="A227" s="7">
        <v>452</v>
      </c>
      <c r="B227" s="7" t="s">
        <v>154</v>
      </c>
      <c r="C227" s="7" t="s">
        <v>153</v>
      </c>
      <c r="D227" s="7">
        <v>2022</v>
      </c>
      <c r="E227" s="7">
        <v>1</v>
      </c>
      <c r="F227" s="7">
        <v>345.37</v>
      </c>
    </row>
    <row r="228" spans="1:6" x14ac:dyDescent="0.15">
      <c r="A228" s="7">
        <v>452</v>
      </c>
      <c r="B228" s="7" t="s">
        <v>154</v>
      </c>
      <c r="C228" s="7" t="s">
        <v>153</v>
      </c>
      <c r="D228" s="7">
        <v>2022</v>
      </c>
      <c r="E228" s="7">
        <v>2</v>
      </c>
      <c r="F228" s="7">
        <v>345.37</v>
      </c>
    </row>
    <row r="229" spans="1:6" x14ac:dyDescent="0.15">
      <c r="A229" s="7">
        <v>452</v>
      </c>
      <c r="B229" s="7" t="s">
        <v>154</v>
      </c>
      <c r="C229" s="7" t="s">
        <v>153</v>
      </c>
      <c r="D229" s="7">
        <v>2022</v>
      </c>
      <c r="E229" s="7">
        <v>3</v>
      </c>
      <c r="F229" s="7">
        <v>345.37</v>
      </c>
    </row>
    <row r="230" spans="1:6" x14ac:dyDescent="0.15">
      <c r="A230" s="7">
        <v>452</v>
      </c>
      <c r="B230" s="7" t="s">
        <v>154</v>
      </c>
      <c r="C230" s="7" t="s">
        <v>153</v>
      </c>
      <c r="D230" s="7">
        <v>2022</v>
      </c>
      <c r="E230" s="7">
        <v>4</v>
      </c>
      <c r="F230" s="7">
        <v>407.8</v>
      </c>
    </row>
    <row r="231" spans="1:6" x14ac:dyDescent="0.15">
      <c r="A231" s="7">
        <v>452</v>
      </c>
      <c r="B231" s="7" t="s">
        <v>154</v>
      </c>
      <c r="C231" s="7" t="s">
        <v>153</v>
      </c>
      <c r="D231" s="7">
        <v>2022</v>
      </c>
      <c r="E231" s="7">
        <v>5</v>
      </c>
      <c r="F231" s="7">
        <v>407.8</v>
      </c>
    </row>
    <row r="232" spans="1:6" x14ac:dyDescent="0.15">
      <c r="A232" s="7">
        <v>452</v>
      </c>
      <c r="B232" s="7" t="s">
        <v>154</v>
      </c>
      <c r="C232" s="7" t="s">
        <v>153</v>
      </c>
      <c r="D232" s="7">
        <v>2022</v>
      </c>
      <c r="E232" s="7">
        <v>6</v>
      </c>
      <c r="F232" s="7">
        <v>368.78</v>
      </c>
    </row>
    <row r="233" spans="1:6" x14ac:dyDescent="0.15">
      <c r="A233" s="7">
        <v>452</v>
      </c>
      <c r="B233" s="7" t="s">
        <v>154</v>
      </c>
      <c r="C233" s="7" t="s">
        <v>153</v>
      </c>
      <c r="D233" s="7">
        <v>2022</v>
      </c>
      <c r="E233" s="7">
        <v>7</v>
      </c>
      <c r="F233" s="7">
        <v>334.44</v>
      </c>
    </row>
    <row r="234" spans="1:6" x14ac:dyDescent="0.15">
      <c r="A234" s="7">
        <v>452</v>
      </c>
      <c r="B234" s="7" t="s">
        <v>154</v>
      </c>
      <c r="C234" s="7" t="s">
        <v>153</v>
      </c>
      <c r="D234" s="7">
        <v>2022</v>
      </c>
      <c r="E234" s="7">
        <v>8</v>
      </c>
      <c r="F234" s="7">
        <v>395.32</v>
      </c>
    </row>
    <row r="235" spans="1:6" x14ac:dyDescent="0.15">
      <c r="A235" s="7">
        <v>452</v>
      </c>
      <c r="B235" s="7" t="s">
        <v>154</v>
      </c>
      <c r="C235" s="7" t="s">
        <v>153</v>
      </c>
      <c r="D235" s="7">
        <v>2022</v>
      </c>
      <c r="E235" s="7">
        <v>9</v>
      </c>
      <c r="F235" s="7">
        <v>410.93</v>
      </c>
    </row>
    <row r="236" spans="1:6" x14ac:dyDescent="0.15">
      <c r="A236" s="7">
        <v>452</v>
      </c>
      <c r="B236" s="7" t="s">
        <v>154</v>
      </c>
      <c r="C236" s="7" t="s">
        <v>153</v>
      </c>
      <c r="D236" s="7">
        <v>2022</v>
      </c>
      <c r="E236" s="7">
        <v>10</v>
      </c>
      <c r="F236" s="7">
        <v>412.88</v>
      </c>
    </row>
    <row r="237" spans="1:6" x14ac:dyDescent="0.15">
      <c r="A237" s="7">
        <v>452</v>
      </c>
      <c r="B237" s="7" t="s">
        <v>154</v>
      </c>
      <c r="C237" s="7" t="s">
        <v>153</v>
      </c>
      <c r="D237" s="7">
        <v>2022</v>
      </c>
      <c r="E237" s="7">
        <v>11</v>
      </c>
      <c r="F237" s="7">
        <v>403.12</v>
      </c>
    </row>
    <row r="238" spans="1:6" x14ac:dyDescent="0.15">
      <c r="A238" s="7">
        <v>55</v>
      </c>
      <c r="B238" s="7" t="s">
        <v>152</v>
      </c>
      <c r="C238" s="7" t="s">
        <v>151</v>
      </c>
      <c r="D238" s="7">
        <v>2018</v>
      </c>
      <c r="E238" s="7">
        <v>1</v>
      </c>
      <c r="F238" s="7">
        <v>142.31</v>
      </c>
    </row>
    <row r="239" spans="1:6" x14ac:dyDescent="0.15">
      <c r="A239" s="7">
        <v>55</v>
      </c>
      <c r="B239" s="7" t="s">
        <v>152</v>
      </c>
      <c r="C239" s="7" t="s">
        <v>151</v>
      </c>
      <c r="D239" s="7">
        <v>2018</v>
      </c>
      <c r="E239" s="7">
        <v>2</v>
      </c>
      <c r="F239" s="7">
        <v>141.88999999999999</v>
      </c>
    </row>
    <row r="240" spans="1:6" x14ac:dyDescent="0.15">
      <c r="A240" s="7">
        <v>55</v>
      </c>
      <c r="B240" s="7" t="s">
        <v>152</v>
      </c>
      <c r="C240" s="7" t="s">
        <v>151</v>
      </c>
      <c r="D240" s="7">
        <v>2018</v>
      </c>
      <c r="E240" s="7">
        <v>3</v>
      </c>
      <c r="F240" s="7">
        <v>141.88999999999999</v>
      </c>
    </row>
    <row r="241" spans="1:6" x14ac:dyDescent="0.15">
      <c r="A241" s="7">
        <v>55</v>
      </c>
      <c r="B241" s="7" t="s">
        <v>152</v>
      </c>
      <c r="C241" s="7" t="s">
        <v>151</v>
      </c>
      <c r="D241" s="7">
        <v>2018</v>
      </c>
      <c r="E241" s="7">
        <v>4</v>
      </c>
      <c r="F241" s="7">
        <v>141.88999999999999</v>
      </c>
    </row>
    <row r="242" spans="1:6" x14ac:dyDescent="0.15">
      <c r="A242" s="7">
        <v>55</v>
      </c>
      <c r="B242" s="7" t="s">
        <v>152</v>
      </c>
      <c r="C242" s="7" t="s">
        <v>151</v>
      </c>
      <c r="D242" s="7">
        <v>2018</v>
      </c>
      <c r="E242" s="7">
        <v>5</v>
      </c>
      <c r="F242" s="7">
        <v>143.37</v>
      </c>
    </row>
    <row r="243" spans="1:6" x14ac:dyDescent="0.15">
      <c r="A243" s="7">
        <v>55</v>
      </c>
      <c r="B243" s="7" t="s">
        <v>152</v>
      </c>
      <c r="C243" s="7" t="s">
        <v>151</v>
      </c>
      <c r="D243" s="7">
        <v>2018</v>
      </c>
      <c r="E243" s="7">
        <v>6</v>
      </c>
      <c r="F243" s="7">
        <v>143.37</v>
      </c>
    </row>
    <row r="244" spans="1:6" x14ac:dyDescent="0.15">
      <c r="A244" s="7">
        <v>55</v>
      </c>
      <c r="B244" s="7" t="s">
        <v>152</v>
      </c>
      <c r="C244" s="7" t="s">
        <v>151</v>
      </c>
      <c r="D244" s="7">
        <v>2018</v>
      </c>
      <c r="E244" s="7">
        <v>7</v>
      </c>
      <c r="F244" s="7">
        <v>149.94999999999999</v>
      </c>
    </row>
    <row r="245" spans="1:6" x14ac:dyDescent="0.15">
      <c r="A245" s="7">
        <v>55</v>
      </c>
      <c r="B245" s="7" t="s">
        <v>152</v>
      </c>
      <c r="C245" s="7" t="s">
        <v>151</v>
      </c>
      <c r="D245" s="7">
        <v>2018</v>
      </c>
      <c r="E245" s="7">
        <v>8</v>
      </c>
      <c r="F245" s="7">
        <v>149.94999999999999</v>
      </c>
    </row>
    <row r="246" spans="1:6" x14ac:dyDescent="0.15">
      <c r="A246" s="7">
        <v>55</v>
      </c>
      <c r="B246" s="7" t="s">
        <v>152</v>
      </c>
      <c r="C246" s="7" t="s">
        <v>151</v>
      </c>
      <c r="D246" s="7">
        <v>2018</v>
      </c>
      <c r="E246" s="7">
        <v>9</v>
      </c>
      <c r="F246" s="7">
        <v>149.94999999999999</v>
      </c>
    </row>
    <row r="247" spans="1:6" x14ac:dyDescent="0.15">
      <c r="A247" s="7">
        <v>55</v>
      </c>
      <c r="B247" s="7" t="s">
        <v>152</v>
      </c>
      <c r="C247" s="7" t="s">
        <v>151</v>
      </c>
      <c r="D247" s="7">
        <v>2018</v>
      </c>
      <c r="E247" s="7">
        <v>10</v>
      </c>
      <c r="F247" s="7">
        <v>149.94999999999999</v>
      </c>
    </row>
    <row r="248" spans="1:6" x14ac:dyDescent="0.15">
      <c r="A248" s="7">
        <v>55</v>
      </c>
      <c r="B248" s="7" t="s">
        <v>152</v>
      </c>
      <c r="C248" s="7" t="s">
        <v>151</v>
      </c>
      <c r="D248" s="7">
        <v>2018</v>
      </c>
      <c r="E248" s="7">
        <v>11</v>
      </c>
      <c r="F248" s="7">
        <v>154.83000000000001</v>
      </c>
    </row>
    <row r="249" spans="1:6" x14ac:dyDescent="0.15">
      <c r="A249" s="7">
        <v>55</v>
      </c>
      <c r="B249" s="7" t="s">
        <v>152</v>
      </c>
      <c r="C249" s="7" t="s">
        <v>151</v>
      </c>
      <c r="D249" s="7">
        <v>2018</v>
      </c>
      <c r="E249" s="7">
        <v>12</v>
      </c>
      <c r="F249" s="7">
        <v>154.83000000000001</v>
      </c>
    </row>
    <row r="250" spans="1:6" x14ac:dyDescent="0.15">
      <c r="A250" s="7">
        <v>55</v>
      </c>
      <c r="B250" s="7" t="s">
        <v>152</v>
      </c>
      <c r="C250" s="7" t="s">
        <v>151</v>
      </c>
      <c r="D250" s="7">
        <v>2019</v>
      </c>
      <c r="E250" s="7">
        <v>1</v>
      </c>
      <c r="F250" s="7">
        <v>154.83000000000001</v>
      </c>
    </row>
    <row r="251" spans="1:6" x14ac:dyDescent="0.15">
      <c r="A251" s="7">
        <v>55</v>
      </c>
      <c r="B251" s="7" t="s">
        <v>152</v>
      </c>
      <c r="C251" s="7" t="s">
        <v>151</v>
      </c>
      <c r="D251" s="7">
        <v>2019</v>
      </c>
      <c r="E251" s="7">
        <v>2</v>
      </c>
      <c r="F251" s="7">
        <v>156.94999999999999</v>
      </c>
    </row>
    <row r="252" spans="1:6" x14ac:dyDescent="0.15">
      <c r="A252" s="7">
        <v>55</v>
      </c>
      <c r="B252" s="7" t="s">
        <v>152</v>
      </c>
      <c r="C252" s="7" t="s">
        <v>151</v>
      </c>
      <c r="D252" s="7">
        <v>2019</v>
      </c>
      <c r="E252" s="7">
        <v>3</v>
      </c>
      <c r="F252" s="7">
        <v>156.94999999999999</v>
      </c>
    </row>
    <row r="253" spans="1:6" x14ac:dyDescent="0.15">
      <c r="A253" s="7">
        <v>55</v>
      </c>
      <c r="B253" s="7" t="s">
        <v>152</v>
      </c>
      <c r="C253" s="7" t="s">
        <v>151</v>
      </c>
      <c r="D253" s="7">
        <v>2019</v>
      </c>
      <c r="E253" s="7">
        <v>4</v>
      </c>
      <c r="F253" s="7">
        <v>156.94999999999999</v>
      </c>
    </row>
    <row r="254" spans="1:6" x14ac:dyDescent="0.15">
      <c r="A254" s="7">
        <v>55</v>
      </c>
      <c r="B254" s="7" t="s">
        <v>152</v>
      </c>
      <c r="C254" s="7" t="s">
        <v>151</v>
      </c>
      <c r="D254" s="7">
        <v>2019</v>
      </c>
      <c r="E254" s="7">
        <v>5</v>
      </c>
      <c r="F254" s="7">
        <v>152.38999999999999</v>
      </c>
    </row>
    <row r="255" spans="1:6" x14ac:dyDescent="0.15">
      <c r="A255" s="7">
        <v>55</v>
      </c>
      <c r="B255" s="7" t="s">
        <v>152</v>
      </c>
      <c r="C255" s="7" t="s">
        <v>151</v>
      </c>
      <c r="D255" s="7">
        <v>2019</v>
      </c>
      <c r="E255" s="7">
        <v>6</v>
      </c>
      <c r="F255" s="7">
        <v>152.38999999999999</v>
      </c>
    </row>
    <row r="256" spans="1:6" x14ac:dyDescent="0.15">
      <c r="A256" s="7">
        <v>55</v>
      </c>
      <c r="B256" s="7" t="s">
        <v>152</v>
      </c>
      <c r="C256" s="7" t="s">
        <v>151</v>
      </c>
      <c r="D256" s="7">
        <v>2019</v>
      </c>
      <c r="E256" s="7">
        <v>7</v>
      </c>
      <c r="F256" s="7">
        <v>152.38999999999999</v>
      </c>
    </row>
    <row r="257" spans="1:6" x14ac:dyDescent="0.15">
      <c r="A257" s="7">
        <v>55</v>
      </c>
      <c r="B257" s="7" t="s">
        <v>152</v>
      </c>
      <c r="C257" s="7" t="s">
        <v>151</v>
      </c>
      <c r="D257" s="7">
        <v>2019</v>
      </c>
      <c r="E257" s="7">
        <v>8</v>
      </c>
      <c r="F257" s="7">
        <v>151.63999999999999</v>
      </c>
    </row>
    <row r="258" spans="1:6" x14ac:dyDescent="0.15">
      <c r="A258" s="7">
        <v>55</v>
      </c>
      <c r="B258" s="7" t="s">
        <v>152</v>
      </c>
      <c r="C258" s="7" t="s">
        <v>151</v>
      </c>
      <c r="D258" s="7">
        <v>2019</v>
      </c>
      <c r="E258" s="7">
        <v>9</v>
      </c>
      <c r="F258" s="7">
        <v>151.63999999999999</v>
      </c>
    </row>
    <row r="259" spans="1:6" x14ac:dyDescent="0.15">
      <c r="A259" s="7">
        <v>55</v>
      </c>
      <c r="B259" s="7" t="s">
        <v>152</v>
      </c>
      <c r="C259" s="7" t="s">
        <v>151</v>
      </c>
      <c r="D259" s="7">
        <v>2019</v>
      </c>
      <c r="E259" s="7">
        <v>10</v>
      </c>
      <c r="F259" s="7">
        <v>151.63999999999999</v>
      </c>
    </row>
    <row r="260" spans="1:6" x14ac:dyDescent="0.15">
      <c r="A260" s="7">
        <v>55</v>
      </c>
      <c r="B260" s="7" t="s">
        <v>152</v>
      </c>
      <c r="C260" s="7" t="s">
        <v>151</v>
      </c>
      <c r="D260" s="7">
        <v>2019</v>
      </c>
      <c r="E260" s="7">
        <v>11</v>
      </c>
      <c r="F260" s="7">
        <v>151.63999999999999</v>
      </c>
    </row>
    <row r="261" spans="1:6" x14ac:dyDescent="0.15">
      <c r="A261" s="7">
        <v>55</v>
      </c>
      <c r="B261" s="7" t="s">
        <v>152</v>
      </c>
      <c r="C261" s="7" t="s">
        <v>151</v>
      </c>
      <c r="D261" s="7">
        <v>2019</v>
      </c>
      <c r="E261" s="7">
        <v>12</v>
      </c>
      <c r="F261" s="7">
        <v>151.63999999999999</v>
      </c>
    </row>
    <row r="262" spans="1:6" x14ac:dyDescent="0.15">
      <c r="A262" s="7">
        <v>55</v>
      </c>
      <c r="B262" s="7" t="s">
        <v>152</v>
      </c>
      <c r="C262" s="7" t="s">
        <v>151</v>
      </c>
      <c r="D262" s="7">
        <v>2020</v>
      </c>
      <c r="E262" s="7">
        <v>1</v>
      </c>
      <c r="F262" s="7">
        <v>151.63999999999999</v>
      </c>
    </row>
    <row r="263" spans="1:6" x14ac:dyDescent="0.15">
      <c r="A263" s="7">
        <v>55</v>
      </c>
      <c r="B263" s="7" t="s">
        <v>152</v>
      </c>
      <c r="C263" s="7" t="s">
        <v>151</v>
      </c>
      <c r="D263" s="7">
        <v>2020</v>
      </c>
      <c r="E263" s="7">
        <v>2</v>
      </c>
      <c r="F263" s="7">
        <v>147.4</v>
      </c>
    </row>
    <row r="264" spans="1:6" x14ac:dyDescent="0.15">
      <c r="A264" s="7">
        <v>55</v>
      </c>
      <c r="B264" s="7" t="s">
        <v>152</v>
      </c>
      <c r="C264" s="7" t="s">
        <v>151</v>
      </c>
      <c r="D264" s="7">
        <v>2020</v>
      </c>
      <c r="E264" s="7">
        <v>3</v>
      </c>
      <c r="F264" s="7">
        <v>147.4</v>
      </c>
    </row>
    <row r="265" spans="1:6" x14ac:dyDescent="0.15">
      <c r="A265" s="7">
        <v>55</v>
      </c>
      <c r="B265" s="7" t="s">
        <v>152</v>
      </c>
      <c r="C265" s="7" t="s">
        <v>151</v>
      </c>
      <c r="D265" s="7">
        <v>2020</v>
      </c>
      <c r="E265" s="7">
        <v>4</v>
      </c>
      <c r="F265" s="7">
        <v>147.4</v>
      </c>
    </row>
    <row r="266" spans="1:6" x14ac:dyDescent="0.15">
      <c r="A266" s="7">
        <v>55</v>
      </c>
      <c r="B266" s="7" t="s">
        <v>152</v>
      </c>
      <c r="C266" s="7" t="s">
        <v>151</v>
      </c>
      <c r="D266" s="7">
        <v>2020</v>
      </c>
      <c r="E266" s="7">
        <v>5</v>
      </c>
      <c r="F266" s="7">
        <v>147.4</v>
      </c>
    </row>
    <row r="267" spans="1:6" x14ac:dyDescent="0.15">
      <c r="A267" s="7">
        <v>55</v>
      </c>
      <c r="B267" s="7" t="s">
        <v>152</v>
      </c>
      <c r="C267" s="7" t="s">
        <v>151</v>
      </c>
      <c r="D267" s="7">
        <v>2020</v>
      </c>
      <c r="E267" s="7">
        <v>6</v>
      </c>
      <c r="F267" s="7">
        <v>142.94999999999999</v>
      </c>
    </row>
    <row r="268" spans="1:6" x14ac:dyDescent="0.15">
      <c r="A268" s="7">
        <v>55</v>
      </c>
      <c r="B268" s="7" t="s">
        <v>152</v>
      </c>
      <c r="C268" s="7" t="s">
        <v>151</v>
      </c>
      <c r="D268" s="7">
        <v>2020</v>
      </c>
      <c r="E268" s="7">
        <v>7</v>
      </c>
      <c r="F268" s="7">
        <v>142.94999999999999</v>
      </c>
    </row>
    <row r="269" spans="1:6" x14ac:dyDescent="0.15">
      <c r="A269" s="7">
        <v>55</v>
      </c>
      <c r="B269" s="7" t="s">
        <v>152</v>
      </c>
      <c r="C269" s="7" t="s">
        <v>151</v>
      </c>
      <c r="D269" s="7">
        <v>2020</v>
      </c>
      <c r="E269" s="7">
        <v>8</v>
      </c>
      <c r="F269" s="7">
        <v>142.94999999999999</v>
      </c>
    </row>
    <row r="270" spans="1:6" x14ac:dyDescent="0.15">
      <c r="A270" s="7">
        <v>55</v>
      </c>
      <c r="B270" s="7" t="s">
        <v>152</v>
      </c>
      <c r="C270" s="7" t="s">
        <v>151</v>
      </c>
      <c r="D270" s="7">
        <v>2020</v>
      </c>
      <c r="E270" s="7">
        <v>9</v>
      </c>
      <c r="F270" s="7">
        <v>142.94999999999999</v>
      </c>
    </row>
    <row r="271" spans="1:6" x14ac:dyDescent="0.15">
      <c r="A271" s="7">
        <v>55</v>
      </c>
      <c r="B271" s="7" t="s">
        <v>152</v>
      </c>
      <c r="C271" s="7" t="s">
        <v>151</v>
      </c>
      <c r="D271" s="7">
        <v>2020</v>
      </c>
      <c r="E271" s="7">
        <v>10</v>
      </c>
      <c r="F271" s="7">
        <v>138.71</v>
      </c>
    </row>
    <row r="272" spans="1:6" x14ac:dyDescent="0.15">
      <c r="A272" s="7">
        <v>55</v>
      </c>
      <c r="B272" s="7" t="s">
        <v>152</v>
      </c>
      <c r="C272" s="7" t="s">
        <v>151</v>
      </c>
      <c r="D272" s="7">
        <v>2020</v>
      </c>
      <c r="E272" s="7">
        <v>11</v>
      </c>
      <c r="F272" s="7">
        <v>138.71</v>
      </c>
    </row>
    <row r="273" spans="1:6" x14ac:dyDescent="0.15">
      <c r="A273" s="7">
        <v>55</v>
      </c>
      <c r="B273" s="7" t="s">
        <v>152</v>
      </c>
      <c r="C273" s="7" t="s">
        <v>151</v>
      </c>
      <c r="D273" s="7">
        <v>2020</v>
      </c>
      <c r="E273" s="7">
        <v>12</v>
      </c>
      <c r="F273" s="7">
        <v>138.71</v>
      </c>
    </row>
    <row r="274" spans="1:6" x14ac:dyDescent="0.15">
      <c r="A274" s="7">
        <v>55</v>
      </c>
      <c r="B274" s="7" t="s">
        <v>152</v>
      </c>
      <c r="C274" s="7" t="s">
        <v>151</v>
      </c>
      <c r="D274" s="7">
        <v>2021</v>
      </c>
      <c r="E274" s="7">
        <v>1</v>
      </c>
      <c r="F274" s="7">
        <v>138.71</v>
      </c>
    </row>
    <row r="275" spans="1:6" x14ac:dyDescent="0.15">
      <c r="A275" s="7">
        <v>55</v>
      </c>
      <c r="B275" s="7" t="s">
        <v>152</v>
      </c>
      <c r="C275" s="7" t="s">
        <v>151</v>
      </c>
      <c r="D275" s="7">
        <v>2021</v>
      </c>
      <c r="E275" s="7">
        <v>2</v>
      </c>
      <c r="F275" s="7">
        <v>138.71</v>
      </c>
    </row>
    <row r="276" spans="1:6" x14ac:dyDescent="0.15">
      <c r="A276" s="7">
        <v>55</v>
      </c>
      <c r="B276" s="7" t="s">
        <v>152</v>
      </c>
      <c r="C276" s="7" t="s">
        <v>151</v>
      </c>
      <c r="D276" s="7">
        <v>2021</v>
      </c>
      <c r="E276" s="7">
        <v>3</v>
      </c>
      <c r="F276" s="7">
        <v>138.71</v>
      </c>
    </row>
    <row r="277" spans="1:6" x14ac:dyDescent="0.15">
      <c r="A277" s="7">
        <v>55</v>
      </c>
      <c r="B277" s="7" t="s">
        <v>152</v>
      </c>
      <c r="C277" s="7" t="s">
        <v>151</v>
      </c>
      <c r="D277" s="7">
        <v>2021</v>
      </c>
      <c r="E277" s="7">
        <v>4</v>
      </c>
      <c r="F277" s="7">
        <v>149.94999999999999</v>
      </c>
    </row>
    <row r="278" spans="1:6" x14ac:dyDescent="0.15">
      <c r="A278" s="7">
        <v>55</v>
      </c>
      <c r="B278" s="7" t="s">
        <v>152</v>
      </c>
      <c r="C278" s="7" t="s">
        <v>151</v>
      </c>
      <c r="D278" s="7">
        <v>2021</v>
      </c>
      <c r="E278" s="7">
        <v>5</v>
      </c>
      <c r="F278" s="7">
        <v>149.94999999999999</v>
      </c>
    </row>
    <row r="279" spans="1:6" x14ac:dyDescent="0.15">
      <c r="A279" s="7">
        <v>55</v>
      </c>
      <c r="B279" s="7" t="s">
        <v>152</v>
      </c>
      <c r="C279" s="7" t="s">
        <v>151</v>
      </c>
      <c r="D279" s="7">
        <v>2021</v>
      </c>
      <c r="E279" s="7">
        <v>6</v>
      </c>
      <c r="F279" s="7">
        <v>152.07</v>
      </c>
    </row>
    <row r="280" spans="1:6" x14ac:dyDescent="0.15">
      <c r="A280" s="7">
        <v>55</v>
      </c>
      <c r="B280" s="7" t="s">
        <v>152</v>
      </c>
      <c r="C280" s="7" t="s">
        <v>151</v>
      </c>
      <c r="D280" s="7">
        <v>2021</v>
      </c>
      <c r="E280" s="7">
        <v>7</v>
      </c>
      <c r="F280" s="7">
        <v>152.07</v>
      </c>
    </row>
    <row r="281" spans="1:6" x14ac:dyDescent="0.15">
      <c r="A281" s="7">
        <v>55</v>
      </c>
      <c r="B281" s="7" t="s">
        <v>152</v>
      </c>
      <c r="C281" s="7" t="s">
        <v>151</v>
      </c>
      <c r="D281" s="7">
        <v>2021</v>
      </c>
      <c r="E281" s="7">
        <v>8</v>
      </c>
      <c r="F281" s="7">
        <v>152.07</v>
      </c>
    </row>
    <row r="282" spans="1:6" x14ac:dyDescent="0.15">
      <c r="A282" s="7">
        <v>55</v>
      </c>
      <c r="B282" s="7" t="s">
        <v>152</v>
      </c>
      <c r="C282" s="7" t="s">
        <v>151</v>
      </c>
      <c r="D282" s="7">
        <v>2021</v>
      </c>
      <c r="E282" s="7">
        <v>9</v>
      </c>
      <c r="F282" s="7">
        <v>156.94999999999999</v>
      </c>
    </row>
    <row r="283" spans="1:6" x14ac:dyDescent="0.15">
      <c r="A283" s="7">
        <v>55</v>
      </c>
      <c r="B283" s="7" t="s">
        <v>152</v>
      </c>
      <c r="C283" s="7" t="s">
        <v>151</v>
      </c>
      <c r="D283" s="7">
        <v>2021</v>
      </c>
      <c r="E283" s="7">
        <v>10</v>
      </c>
      <c r="F283" s="7">
        <v>165.43</v>
      </c>
    </row>
    <row r="284" spans="1:6" x14ac:dyDescent="0.15">
      <c r="A284" s="7">
        <v>55</v>
      </c>
      <c r="B284" s="7" t="s">
        <v>152</v>
      </c>
      <c r="C284" s="7" t="s">
        <v>151</v>
      </c>
      <c r="D284" s="7">
        <v>2021</v>
      </c>
      <c r="E284" s="7">
        <v>11</v>
      </c>
      <c r="F284" s="7">
        <v>165.43</v>
      </c>
    </row>
    <row r="285" spans="1:6" x14ac:dyDescent="0.15">
      <c r="A285" s="7">
        <v>55</v>
      </c>
      <c r="B285" s="7" t="s">
        <v>152</v>
      </c>
      <c r="C285" s="7" t="s">
        <v>151</v>
      </c>
      <c r="D285" s="7">
        <v>2021</v>
      </c>
      <c r="E285" s="7">
        <v>12</v>
      </c>
      <c r="F285" s="7">
        <v>188.76</v>
      </c>
    </row>
    <row r="286" spans="1:6" x14ac:dyDescent="0.15">
      <c r="A286" s="7">
        <v>55</v>
      </c>
      <c r="B286" s="7" t="s">
        <v>152</v>
      </c>
      <c r="C286" s="7" t="s">
        <v>151</v>
      </c>
      <c r="D286" s="7">
        <v>2022</v>
      </c>
      <c r="E286" s="7">
        <v>1</v>
      </c>
      <c r="F286" s="7">
        <v>188.76</v>
      </c>
    </row>
    <row r="287" spans="1:6" x14ac:dyDescent="0.15">
      <c r="A287" s="7">
        <v>55</v>
      </c>
      <c r="B287" s="7" t="s">
        <v>152</v>
      </c>
      <c r="C287" s="7" t="s">
        <v>151</v>
      </c>
      <c r="D287" s="7">
        <v>2022</v>
      </c>
      <c r="E287" s="7">
        <v>2</v>
      </c>
      <c r="F287" s="7">
        <v>188.76</v>
      </c>
    </row>
    <row r="288" spans="1:6" x14ac:dyDescent="0.15">
      <c r="A288" s="7">
        <v>55</v>
      </c>
      <c r="B288" s="7" t="s">
        <v>152</v>
      </c>
      <c r="C288" s="7" t="s">
        <v>151</v>
      </c>
      <c r="D288" s="7">
        <v>2022</v>
      </c>
      <c r="E288" s="7">
        <v>3</v>
      </c>
      <c r="F288" s="7">
        <v>188.76</v>
      </c>
    </row>
    <row r="289" spans="1:6" x14ac:dyDescent="0.15">
      <c r="A289" s="7">
        <v>55</v>
      </c>
      <c r="B289" s="7" t="s">
        <v>152</v>
      </c>
      <c r="C289" s="7" t="s">
        <v>151</v>
      </c>
      <c r="D289" s="7">
        <v>2022</v>
      </c>
      <c r="E289" s="7">
        <v>4</v>
      </c>
      <c r="F289" s="7">
        <v>209.97</v>
      </c>
    </row>
    <row r="290" spans="1:6" x14ac:dyDescent="0.15">
      <c r="A290" s="7">
        <v>55</v>
      </c>
      <c r="B290" s="7" t="s">
        <v>152</v>
      </c>
      <c r="C290" s="7" t="s">
        <v>151</v>
      </c>
      <c r="D290" s="7">
        <v>2022</v>
      </c>
      <c r="E290" s="7">
        <v>5</v>
      </c>
      <c r="F290" s="7">
        <v>209.97</v>
      </c>
    </row>
    <row r="291" spans="1:6" x14ac:dyDescent="0.15">
      <c r="A291" s="7">
        <v>55</v>
      </c>
      <c r="B291" s="7" t="s">
        <v>152</v>
      </c>
      <c r="C291" s="7" t="s">
        <v>151</v>
      </c>
      <c r="D291" s="7">
        <v>2022</v>
      </c>
      <c r="E291" s="7">
        <v>6</v>
      </c>
      <c r="F291" s="7">
        <v>224.81</v>
      </c>
    </row>
    <row r="292" spans="1:6" x14ac:dyDescent="0.15">
      <c r="A292" s="7">
        <v>55</v>
      </c>
      <c r="B292" s="7" t="s">
        <v>152</v>
      </c>
      <c r="C292" s="7" t="s">
        <v>151</v>
      </c>
      <c r="D292" s="7">
        <v>2022</v>
      </c>
      <c r="E292" s="7">
        <v>7</v>
      </c>
      <c r="F292" s="7">
        <v>246.02</v>
      </c>
    </row>
    <row r="293" spans="1:6" x14ac:dyDescent="0.15">
      <c r="A293" s="7">
        <v>55</v>
      </c>
      <c r="B293" s="7" t="s">
        <v>152</v>
      </c>
      <c r="C293" s="7" t="s">
        <v>151</v>
      </c>
      <c r="D293" s="7">
        <v>2022</v>
      </c>
      <c r="E293" s="7">
        <v>8</v>
      </c>
      <c r="F293" s="7">
        <v>260.87</v>
      </c>
    </row>
    <row r="294" spans="1:6" x14ac:dyDescent="0.15">
      <c r="A294" s="7">
        <v>55</v>
      </c>
      <c r="B294" s="7" t="s">
        <v>152</v>
      </c>
      <c r="C294" s="7" t="s">
        <v>151</v>
      </c>
      <c r="D294" s="7">
        <v>2022</v>
      </c>
      <c r="E294" s="7">
        <v>9</v>
      </c>
      <c r="F294" s="7">
        <v>266.17</v>
      </c>
    </row>
    <row r="295" spans="1:6" x14ac:dyDescent="0.15">
      <c r="A295" s="7">
        <v>55</v>
      </c>
      <c r="B295" s="7" t="s">
        <v>152</v>
      </c>
      <c r="C295" s="7" t="s">
        <v>151</v>
      </c>
      <c r="D295" s="7">
        <v>2022</v>
      </c>
      <c r="E295" s="7">
        <v>10</v>
      </c>
      <c r="F295" s="7">
        <v>266.17</v>
      </c>
    </row>
    <row r="296" spans="1:6" x14ac:dyDescent="0.15">
      <c r="A296" s="7">
        <v>55</v>
      </c>
      <c r="B296" s="7" t="s">
        <v>152</v>
      </c>
      <c r="C296" s="7" t="s">
        <v>151</v>
      </c>
      <c r="D296" s="7">
        <v>2022</v>
      </c>
      <c r="E296" s="7">
        <v>11</v>
      </c>
      <c r="F296" s="7">
        <v>250.27</v>
      </c>
    </row>
    <row r="297" spans="1:6" x14ac:dyDescent="0.15">
      <c r="A297" s="7">
        <v>56</v>
      </c>
      <c r="B297" s="7" t="s">
        <v>344</v>
      </c>
      <c r="C297" s="7" t="s">
        <v>151</v>
      </c>
      <c r="D297" s="7">
        <v>2018</v>
      </c>
      <c r="E297" s="7">
        <v>1</v>
      </c>
      <c r="F297" s="7">
        <v>289.97000000000003</v>
      </c>
    </row>
    <row r="298" spans="1:6" x14ac:dyDescent="0.15">
      <c r="A298" s="7">
        <v>56</v>
      </c>
      <c r="B298" s="7" t="s">
        <v>344</v>
      </c>
      <c r="C298" s="7" t="s">
        <v>151</v>
      </c>
      <c r="D298" s="7">
        <v>2018</v>
      </c>
      <c r="E298" s="7">
        <v>2</v>
      </c>
      <c r="F298" s="7">
        <v>288.89</v>
      </c>
    </row>
    <row r="299" spans="1:6" x14ac:dyDescent="0.15">
      <c r="A299" s="7">
        <v>56</v>
      </c>
      <c r="B299" s="7" t="s">
        <v>344</v>
      </c>
      <c r="C299" s="7" t="s">
        <v>151</v>
      </c>
      <c r="D299" s="7">
        <v>2018</v>
      </c>
      <c r="E299" s="7">
        <v>3</v>
      </c>
      <c r="F299" s="7">
        <v>288.89</v>
      </c>
    </row>
    <row r="300" spans="1:6" x14ac:dyDescent="0.15">
      <c r="A300" s="7">
        <v>56</v>
      </c>
      <c r="B300" s="7" t="s">
        <v>344</v>
      </c>
      <c r="C300" s="7" t="s">
        <v>151</v>
      </c>
      <c r="D300" s="7">
        <v>2018</v>
      </c>
      <c r="E300" s="7">
        <v>4</v>
      </c>
      <c r="F300" s="7">
        <v>288.89</v>
      </c>
    </row>
    <row r="301" spans="1:6" x14ac:dyDescent="0.15">
      <c r="A301" s="7">
        <v>56</v>
      </c>
      <c r="B301" s="7" t="s">
        <v>344</v>
      </c>
      <c r="C301" s="7" t="s">
        <v>151</v>
      </c>
      <c r="D301" s="7">
        <v>2018</v>
      </c>
      <c r="E301" s="7">
        <v>5</v>
      </c>
      <c r="F301" s="7">
        <v>288.35000000000002</v>
      </c>
    </row>
    <row r="302" spans="1:6" x14ac:dyDescent="0.15">
      <c r="A302" s="7">
        <v>56</v>
      </c>
      <c r="B302" s="7" t="s">
        <v>344</v>
      </c>
      <c r="C302" s="7" t="s">
        <v>151</v>
      </c>
      <c r="D302" s="7">
        <v>2018</v>
      </c>
      <c r="E302" s="7">
        <v>6</v>
      </c>
      <c r="F302" s="7">
        <v>288.35000000000002</v>
      </c>
    </row>
    <row r="303" spans="1:6" x14ac:dyDescent="0.15">
      <c r="A303" s="7">
        <v>56</v>
      </c>
      <c r="B303" s="7" t="s">
        <v>344</v>
      </c>
      <c r="C303" s="7" t="s">
        <v>151</v>
      </c>
      <c r="D303" s="7">
        <v>2018</v>
      </c>
      <c r="E303" s="7">
        <v>7</v>
      </c>
      <c r="F303" s="7">
        <v>298.10000000000002</v>
      </c>
    </row>
    <row r="304" spans="1:6" x14ac:dyDescent="0.15">
      <c r="A304" s="7">
        <v>56</v>
      </c>
      <c r="B304" s="7" t="s">
        <v>344</v>
      </c>
      <c r="C304" s="7" t="s">
        <v>151</v>
      </c>
      <c r="D304" s="7">
        <v>2018</v>
      </c>
      <c r="E304" s="7">
        <v>8</v>
      </c>
      <c r="F304" s="7">
        <v>298.10000000000002</v>
      </c>
    </row>
    <row r="305" spans="1:6" x14ac:dyDescent="0.15">
      <c r="A305" s="7">
        <v>56</v>
      </c>
      <c r="B305" s="7" t="s">
        <v>344</v>
      </c>
      <c r="C305" s="7" t="s">
        <v>151</v>
      </c>
      <c r="D305" s="7">
        <v>2018</v>
      </c>
      <c r="E305" s="7">
        <v>9</v>
      </c>
      <c r="F305" s="7">
        <v>298.10000000000002</v>
      </c>
    </row>
    <row r="306" spans="1:6" x14ac:dyDescent="0.15">
      <c r="A306" s="7">
        <v>56</v>
      </c>
      <c r="B306" s="7" t="s">
        <v>344</v>
      </c>
      <c r="C306" s="7" t="s">
        <v>151</v>
      </c>
      <c r="D306" s="7">
        <v>2018</v>
      </c>
      <c r="E306" s="7">
        <v>10</v>
      </c>
      <c r="F306" s="7">
        <v>298.10000000000002</v>
      </c>
    </row>
    <row r="307" spans="1:6" x14ac:dyDescent="0.15">
      <c r="A307" s="7">
        <v>56</v>
      </c>
      <c r="B307" s="7" t="s">
        <v>344</v>
      </c>
      <c r="C307" s="7" t="s">
        <v>151</v>
      </c>
      <c r="D307" s="7">
        <v>2018</v>
      </c>
      <c r="E307" s="7">
        <v>11</v>
      </c>
      <c r="F307" s="7">
        <v>298.10000000000002</v>
      </c>
    </row>
    <row r="308" spans="1:6" x14ac:dyDescent="0.15">
      <c r="A308" s="7">
        <v>56</v>
      </c>
      <c r="B308" s="7" t="s">
        <v>344</v>
      </c>
      <c r="C308" s="7" t="s">
        <v>151</v>
      </c>
      <c r="D308" s="7">
        <v>2018</v>
      </c>
      <c r="E308" s="7">
        <v>12</v>
      </c>
      <c r="F308" s="7">
        <v>298.10000000000002</v>
      </c>
    </row>
    <row r="309" spans="1:6" x14ac:dyDescent="0.15">
      <c r="A309" s="7">
        <v>56</v>
      </c>
      <c r="B309" s="7" t="s">
        <v>344</v>
      </c>
      <c r="C309" s="7" t="s">
        <v>151</v>
      </c>
      <c r="D309" s="7">
        <v>2019</v>
      </c>
      <c r="E309" s="7">
        <v>1</v>
      </c>
      <c r="F309" s="7">
        <v>298.10000000000002</v>
      </c>
    </row>
    <row r="310" spans="1:6" x14ac:dyDescent="0.15">
      <c r="A310" s="7">
        <v>56</v>
      </c>
      <c r="B310" s="7" t="s">
        <v>344</v>
      </c>
      <c r="C310" s="7" t="s">
        <v>151</v>
      </c>
      <c r="D310" s="7">
        <v>2019</v>
      </c>
      <c r="E310" s="7">
        <v>2</v>
      </c>
      <c r="F310" s="7">
        <v>297.83</v>
      </c>
    </row>
    <row r="311" spans="1:6" x14ac:dyDescent="0.15">
      <c r="A311" s="7">
        <v>56</v>
      </c>
      <c r="B311" s="7" t="s">
        <v>344</v>
      </c>
      <c r="C311" s="7" t="s">
        <v>151</v>
      </c>
      <c r="D311" s="7">
        <v>2019</v>
      </c>
      <c r="E311" s="7">
        <v>3</v>
      </c>
      <c r="F311" s="7">
        <v>297.83</v>
      </c>
    </row>
    <row r="312" spans="1:6" x14ac:dyDescent="0.15">
      <c r="A312" s="7">
        <v>56</v>
      </c>
      <c r="B312" s="7" t="s">
        <v>344</v>
      </c>
      <c r="C312" s="7" t="s">
        <v>151</v>
      </c>
      <c r="D312" s="7">
        <v>2019</v>
      </c>
      <c r="E312" s="7">
        <v>4</v>
      </c>
      <c r="F312" s="7">
        <v>297.83</v>
      </c>
    </row>
    <row r="313" spans="1:6" x14ac:dyDescent="0.15">
      <c r="A313" s="7">
        <v>56</v>
      </c>
      <c r="B313" s="7" t="s">
        <v>344</v>
      </c>
      <c r="C313" s="7" t="s">
        <v>151</v>
      </c>
      <c r="D313" s="7">
        <v>2019</v>
      </c>
      <c r="E313" s="7">
        <v>5</v>
      </c>
      <c r="F313" s="7">
        <v>286.99</v>
      </c>
    </row>
    <row r="314" spans="1:6" x14ac:dyDescent="0.15">
      <c r="A314" s="7">
        <v>56</v>
      </c>
      <c r="B314" s="7" t="s">
        <v>344</v>
      </c>
      <c r="C314" s="7" t="s">
        <v>151</v>
      </c>
      <c r="D314" s="7">
        <v>2019</v>
      </c>
      <c r="E314" s="7">
        <v>6</v>
      </c>
      <c r="F314" s="7">
        <v>286.99</v>
      </c>
    </row>
    <row r="315" spans="1:6" x14ac:dyDescent="0.15">
      <c r="A315" s="7">
        <v>56</v>
      </c>
      <c r="B315" s="7" t="s">
        <v>344</v>
      </c>
      <c r="C315" s="7" t="s">
        <v>151</v>
      </c>
      <c r="D315" s="7">
        <v>2019</v>
      </c>
      <c r="E315" s="7">
        <v>7</v>
      </c>
      <c r="F315" s="7">
        <v>286.99</v>
      </c>
    </row>
    <row r="316" spans="1:6" x14ac:dyDescent="0.15">
      <c r="A316" s="7">
        <v>56</v>
      </c>
      <c r="B316" s="7" t="s">
        <v>344</v>
      </c>
      <c r="C316" s="7" t="s">
        <v>151</v>
      </c>
      <c r="D316" s="7">
        <v>2019</v>
      </c>
      <c r="E316" s="7">
        <v>8</v>
      </c>
      <c r="F316" s="7">
        <v>286.18</v>
      </c>
    </row>
    <row r="317" spans="1:6" x14ac:dyDescent="0.15">
      <c r="A317" s="7">
        <v>56</v>
      </c>
      <c r="B317" s="7" t="s">
        <v>344</v>
      </c>
      <c r="C317" s="7" t="s">
        <v>151</v>
      </c>
      <c r="D317" s="7">
        <v>2019</v>
      </c>
      <c r="E317" s="7">
        <v>9</v>
      </c>
      <c r="F317" s="7">
        <v>286.18</v>
      </c>
    </row>
    <row r="318" spans="1:6" x14ac:dyDescent="0.15">
      <c r="A318" s="7">
        <v>56</v>
      </c>
      <c r="B318" s="7" t="s">
        <v>344</v>
      </c>
      <c r="C318" s="7" t="s">
        <v>151</v>
      </c>
      <c r="D318" s="7">
        <v>2019</v>
      </c>
      <c r="E318" s="7">
        <v>10</v>
      </c>
      <c r="F318" s="7">
        <v>286.18</v>
      </c>
    </row>
    <row r="319" spans="1:6" x14ac:dyDescent="0.15">
      <c r="A319" s="7">
        <v>56</v>
      </c>
      <c r="B319" s="7" t="s">
        <v>344</v>
      </c>
      <c r="C319" s="7" t="s">
        <v>151</v>
      </c>
      <c r="D319" s="7">
        <v>2019</v>
      </c>
      <c r="E319" s="7">
        <v>11</v>
      </c>
      <c r="F319" s="7">
        <v>286.18</v>
      </c>
    </row>
    <row r="320" spans="1:6" x14ac:dyDescent="0.15">
      <c r="A320" s="7">
        <v>56</v>
      </c>
      <c r="B320" s="7" t="s">
        <v>344</v>
      </c>
      <c r="C320" s="7" t="s">
        <v>151</v>
      </c>
      <c r="D320" s="7">
        <v>2019</v>
      </c>
      <c r="E320" s="7">
        <v>12</v>
      </c>
      <c r="F320" s="7">
        <v>286.18</v>
      </c>
    </row>
    <row r="321" spans="1:6" x14ac:dyDescent="0.15">
      <c r="A321" s="7">
        <v>56</v>
      </c>
      <c r="B321" s="7" t="s">
        <v>344</v>
      </c>
      <c r="C321" s="7" t="s">
        <v>151</v>
      </c>
      <c r="D321" s="7">
        <v>2020</v>
      </c>
      <c r="E321" s="7">
        <v>1</v>
      </c>
      <c r="F321" s="7">
        <v>286.18</v>
      </c>
    </row>
    <row r="322" spans="1:6" x14ac:dyDescent="0.15">
      <c r="A322" s="7">
        <v>56</v>
      </c>
      <c r="B322" s="7" t="s">
        <v>344</v>
      </c>
      <c r="C322" s="7" t="s">
        <v>151</v>
      </c>
      <c r="D322" s="7">
        <v>2020</v>
      </c>
      <c r="E322" s="7">
        <v>2</v>
      </c>
      <c r="F322" s="7">
        <v>286.18</v>
      </c>
    </row>
    <row r="323" spans="1:6" x14ac:dyDescent="0.15">
      <c r="A323" s="7">
        <v>56</v>
      </c>
      <c r="B323" s="7" t="s">
        <v>344</v>
      </c>
      <c r="C323" s="7" t="s">
        <v>151</v>
      </c>
      <c r="D323" s="7">
        <v>2020</v>
      </c>
      <c r="E323" s="7">
        <v>3</v>
      </c>
      <c r="F323" s="7">
        <v>286.18</v>
      </c>
    </row>
    <row r="324" spans="1:6" x14ac:dyDescent="0.15">
      <c r="A324" s="7">
        <v>56</v>
      </c>
      <c r="B324" s="7" t="s">
        <v>344</v>
      </c>
      <c r="C324" s="7" t="s">
        <v>151</v>
      </c>
      <c r="D324" s="7">
        <v>2020</v>
      </c>
      <c r="E324" s="7">
        <v>4</v>
      </c>
      <c r="F324" s="7">
        <v>286.18</v>
      </c>
    </row>
    <row r="325" spans="1:6" x14ac:dyDescent="0.15">
      <c r="A325" s="7">
        <v>56</v>
      </c>
      <c r="B325" s="7" t="s">
        <v>344</v>
      </c>
      <c r="C325" s="7" t="s">
        <v>151</v>
      </c>
      <c r="D325" s="7">
        <v>2020</v>
      </c>
      <c r="E325" s="7">
        <v>5</v>
      </c>
      <c r="F325" s="7">
        <v>286.18</v>
      </c>
    </row>
    <row r="326" spans="1:6" x14ac:dyDescent="0.15">
      <c r="A326" s="7">
        <v>56</v>
      </c>
      <c r="B326" s="7" t="s">
        <v>344</v>
      </c>
      <c r="C326" s="7" t="s">
        <v>151</v>
      </c>
      <c r="D326" s="7">
        <v>2020</v>
      </c>
      <c r="E326" s="7">
        <v>6</v>
      </c>
      <c r="F326" s="7">
        <v>286.18</v>
      </c>
    </row>
    <row r="327" spans="1:6" x14ac:dyDescent="0.15">
      <c r="A327" s="7">
        <v>56</v>
      </c>
      <c r="B327" s="7" t="s">
        <v>344</v>
      </c>
      <c r="C327" s="7" t="s">
        <v>151</v>
      </c>
      <c r="D327" s="7">
        <v>2020</v>
      </c>
      <c r="E327" s="7">
        <v>7</v>
      </c>
      <c r="F327" s="7">
        <v>286.18</v>
      </c>
    </row>
    <row r="328" spans="1:6" x14ac:dyDescent="0.15">
      <c r="A328" s="7">
        <v>56</v>
      </c>
      <c r="B328" s="7" t="s">
        <v>344</v>
      </c>
      <c r="C328" s="7" t="s">
        <v>151</v>
      </c>
      <c r="D328" s="7">
        <v>2020</v>
      </c>
      <c r="E328" s="7">
        <v>8</v>
      </c>
      <c r="F328" s="7">
        <v>286.18</v>
      </c>
    </row>
    <row r="329" spans="1:6" x14ac:dyDescent="0.15">
      <c r="A329" s="7">
        <v>56</v>
      </c>
      <c r="B329" s="7" t="s">
        <v>344</v>
      </c>
      <c r="C329" s="7" t="s">
        <v>151</v>
      </c>
      <c r="D329" s="7">
        <v>2020</v>
      </c>
      <c r="E329" s="7">
        <v>9</v>
      </c>
      <c r="F329" s="7">
        <v>286.18</v>
      </c>
    </row>
    <row r="330" spans="1:6" x14ac:dyDescent="0.15">
      <c r="A330" s="7">
        <v>56</v>
      </c>
      <c r="B330" s="7" t="s">
        <v>344</v>
      </c>
      <c r="C330" s="7" t="s">
        <v>151</v>
      </c>
      <c r="D330" s="7">
        <v>2020</v>
      </c>
      <c r="E330" s="7">
        <v>10</v>
      </c>
      <c r="F330" s="7">
        <v>286.18</v>
      </c>
    </row>
    <row r="331" spans="1:6" x14ac:dyDescent="0.15">
      <c r="A331" s="7">
        <v>56</v>
      </c>
      <c r="B331" s="7" t="s">
        <v>344</v>
      </c>
      <c r="C331" s="7" t="s">
        <v>151</v>
      </c>
      <c r="D331" s="7">
        <v>2020</v>
      </c>
      <c r="E331" s="7">
        <v>11</v>
      </c>
      <c r="F331" s="7">
        <v>286.18</v>
      </c>
    </row>
    <row r="332" spans="1:6" x14ac:dyDescent="0.15">
      <c r="A332" s="7">
        <v>56</v>
      </c>
      <c r="B332" s="7" t="s">
        <v>344</v>
      </c>
      <c r="C332" s="7" t="s">
        <v>151</v>
      </c>
      <c r="D332" s="7">
        <v>2020</v>
      </c>
      <c r="E332" s="7">
        <v>12</v>
      </c>
      <c r="F332" s="7">
        <v>274.8</v>
      </c>
    </row>
    <row r="333" spans="1:6" x14ac:dyDescent="0.15">
      <c r="A333" s="7">
        <v>56</v>
      </c>
      <c r="B333" s="7" t="s">
        <v>344</v>
      </c>
      <c r="C333" s="7" t="s">
        <v>151</v>
      </c>
      <c r="D333" s="7">
        <v>2021</v>
      </c>
      <c r="E333" s="7">
        <v>1</v>
      </c>
      <c r="F333" s="7">
        <v>274.8</v>
      </c>
    </row>
    <row r="334" spans="1:6" x14ac:dyDescent="0.15">
      <c r="A334" s="7">
        <v>56</v>
      </c>
      <c r="B334" s="7" t="s">
        <v>344</v>
      </c>
      <c r="C334" s="7" t="s">
        <v>151</v>
      </c>
      <c r="D334" s="7">
        <v>2021</v>
      </c>
      <c r="E334" s="7">
        <v>2</v>
      </c>
      <c r="F334" s="7">
        <v>274.8</v>
      </c>
    </row>
    <row r="335" spans="1:6" x14ac:dyDescent="0.15">
      <c r="A335" s="7">
        <v>56</v>
      </c>
      <c r="B335" s="7" t="s">
        <v>344</v>
      </c>
      <c r="C335" s="7" t="s">
        <v>151</v>
      </c>
      <c r="D335" s="7">
        <v>2021</v>
      </c>
      <c r="E335" s="7">
        <v>3</v>
      </c>
      <c r="F335" s="7">
        <v>274.8</v>
      </c>
    </row>
    <row r="336" spans="1:6" x14ac:dyDescent="0.15">
      <c r="A336" s="7">
        <v>56</v>
      </c>
      <c r="B336" s="7" t="s">
        <v>344</v>
      </c>
      <c r="C336" s="7" t="s">
        <v>151</v>
      </c>
      <c r="D336" s="7">
        <v>2021</v>
      </c>
      <c r="E336" s="7">
        <v>4</v>
      </c>
      <c r="F336" s="7">
        <v>280.22000000000003</v>
      </c>
    </row>
    <row r="337" spans="1:6" x14ac:dyDescent="0.15">
      <c r="A337" s="7">
        <v>56</v>
      </c>
      <c r="B337" s="7" t="s">
        <v>344</v>
      </c>
      <c r="C337" s="7" t="s">
        <v>151</v>
      </c>
      <c r="D337" s="7">
        <v>2021</v>
      </c>
      <c r="E337" s="7">
        <v>5</v>
      </c>
      <c r="F337" s="7">
        <v>280.22000000000003</v>
      </c>
    </row>
    <row r="338" spans="1:6" x14ac:dyDescent="0.15">
      <c r="A338" s="7">
        <v>56</v>
      </c>
      <c r="B338" s="7" t="s">
        <v>344</v>
      </c>
      <c r="C338" s="7" t="s">
        <v>151</v>
      </c>
      <c r="D338" s="7">
        <v>2021</v>
      </c>
      <c r="E338" s="7">
        <v>6</v>
      </c>
      <c r="F338" s="7">
        <v>286.18</v>
      </c>
    </row>
    <row r="339" spans="1:6" x14ac:dyDescent="0.15">
      <c r="A339" s="7">
        <v>56</v>
      </c>
      <c r="B339" s="7" t="s">
        <v>344</v>
      </c>
      <c r="C339" s="7" t="s">
        <v>151</v>
      </c>
      <c r="D339" s="7">
        <v>2021</v>
      </c>
      <c r="E339" s="7">
        <v>7</v>
      </c>
      <c r="F339" s="7">
        <v>286.18</v>
      </c>
    </row>
    <row r="340" spans="1:6" x14ac:dyDescent="0.15">
      <c r="A340" s="7">
        <v>56</v>
      </c>
      <c r="B340" s="7" t="s">
        <v>344</v>
      </c>
      <c r="C340" s="7" t="s">
        <v>151</v>
      </c>
      <c r="D340" s="7">
        <v>2021</v>
      </c>
      <c r="E340" s="7">
        <v>8</v>
      </c>
      <c r="F340" s="7">
        <v>286.18</v>
      </c>
    </row>
    <row r="341" spans="1:6" x14ac:dyDescent="0.15">
      <c r="A341" s="7">
        <v>56</v>
      </c>
      <c r="B341" s="7" t="s">
        <v>344</v>
      </c>
      <c r="C341" s="7" t="s">
        <v>151</v>
      </c>
      <c r="D341" s="7">
        <v>2021</v>
      </c>
      <c r="E341" s="7">
        <v>9</v>
      </c>
      <c r="F341" s="7">
        <v>279.13</v>
      </c>
    </row>
    <row r="342" spans="1:6" x14ac:dyDescent="0.15">
      <c r="A342" s="7">
        <v>56</v>
      </c>
      <c r="B342" s="7" t="s">
        <v>344</v>
      </c>
      <c r="C342" s="7" t="s">
        <v>151</v>
      </c>
      <c r="D342" s="7">
        <v>2021</v>
      </c>
      <c r="E342" s="7">
        <v>10</v>
      </c>
      <c r="F342" s="7">
        <v>289.97000000000003</v>
      </c>
    </row>
    <row r="343" spans="1:6" x14ac:dyDescent="0.15">
      <c r="A343" s="7">
        <v>56</v>
      </c>
      <c r="B343" s="7" t="s">
        <v>344</v>
      </c>
      <c r="C343" s="7" t="s">
        <v>151</v>
      </c>
      <c r="D343" s="7">
        <v>2021</v>
      </c>
      <c r="E343" s="7">
        <v>11</v>
      </c>
      <c r="F343" s="7">
        <v>289.97000000000003</v>
      </c>
    </row>
    <row r="344" spans="1:6" x14ac:dyDescent="0.15">
      <c r="A344" s="7">
        <v>56</v>
      </c>
      <c r="B344" s="7" t="s">
        <v>344</v>
      </c>
      <c r="C344" s="7" t="s">
        <v>151</v>
      </c>
      <c r="D344" s="7">
        <v>2021</v>
      </c>
      <c r="E344" s="7">
        <v>12</v>
      </c>
      <c r="F344" s="7">
        <v>322.49</v>
      </c>
    </row>
    <row r="345" spans="1:6" x14ac:dyDescent="0.15">
      <c r="A345" s="7">
        <v>56</v>
      </c>
      <c r="B345" s="7" t="s">
        <v>344</v>
      </c>
      <c r="C345" s="7" t="s">
        <v>151</v>
      </c>
      <c r="D345" s="7">
        <v>2022</v>
      </c>
      <c r="E345" s="7">
        <v>1</v>
      </c>
      <c r="F345" s="7">
        <v>322.49</v>
      </c>
    </row>
    <row r="346" spans="1:6" x14ac:dyDescent="0.15">
      <c r="A346" s="7">
        <v>56</v>
      </c>
      <c r="B346" s="7" t="s">
        <v>344</v>
      </c>
      <c r="C346" s="7" t="s">
        <v>151</v>
      </c>
      <c r="D346" s="7">
        <v>2022</v>
      </c>
      <c r="E346" s="7">
        <v>2</v>
      </c>
      <c r="F346" s="7">
        <v>322.49</v>
      </c>
    </row>
    <row r="347" spans="1:6" x14ac:dyDescent="0.15">
      <c r="A347" s="7">
        <v>56</v>
      </c>
      <c r="B347" s="7" t="s">
        <v>344</v>
      </c>
      <c r="C347" s="7" t="s">
        <v>151</v>
      </c>
      <c r="D347" s="7">
        <v>2022</v>
      </c>
      <c r="E347" s="7">
        <v>3</v>
      </c>
      <c r="F347" s="7">
        <v>322.49</v>
      </c>
    </row>
    <row r="348" spans="1:6" x14ac:dyDescent="0.15">
      <c r="A348" s="7">
        <v>56</v>
      </c>
      <c r="B348" s="7" t="s">
        <v>344</v>
      </c>
      <c r="C348" s="7" t="s">
        <v>151</v>
      </c>
      <c r="D348" s="7">
        <v>2022</v>
      </c>
      <c r="E348" s="7">
        <v>4</v>
      </c>
      <c r="F348" s="7">
        <v>344.17</v>
      </c>
    </row>
    <row r="349" spans="1:6" x14ac:dyDescent="0.15">
      <c r="A349" s="7">
        <v>56</v>
      </c>
      <c r="B349" s="7" t="s">
        <v>344</v>
      </c>
      <c r="C349" s="7" t="s">
        <v>151</v>
      </c>
      <c r="D349" s="7">
        <v>2022</v>
      </c>
      <c r="E349" s="7">
        <v>5</v>
      </c>
      <c r="F349" s="7">
        <v>344.17</v>
      </c>
    </row>
    <row r="350" spans="1:6" x14ac:dyDescent="0.15">
      <c r="A350" s="7">
        <v>56</v>
      </c>
      <c r="B350" s="7" t="s">
        <v>344</v>
      </c>
      <c r="C350" s="7" t="s">
        <v>151</v>
      </c>
      <c r="D350" s="7">
        <v>2022</v>
      </c>
      <c r="E350" s="7">
        <v>6</v>
      </c>
      <c r="F350" s="7">
        <v>344.17</v>
      </c>
    </row>
    <row r="351" spans="1:6" x14ac:dyDescent="0.15">
      <c r="A351" s="7">
        <v>56</v>
      </c>
      <c r="B351" s="7" t="s">
        <v>344</v>
      </c>
      <c r="C351" s="7" t="s">
        <v>151</v>
      </c>
      <c r="D351" s="7">
        <v>2022</v>
      </c>
      <c r="E351" s="7">
        <v>7</v>
      </c>
      <c r="F351" s="7">
        <v>344.17</v>
      </c>
    </row>
    <row r="352" spans="1:6" x14ac:dyDescent="0.15">
      <c r="A352" s="7">
        <v>56</v>
      </c>
      <c r="B352" s="7" t="s">
        <v>344</v>
      </c>
      <c r="C352" s="7" t="s">
        <v>151</v>
      </c>
      <c r="D352" s="7">
        <v>2022</v>
      </c>
      <c r="E352" s="7">
        <v>8</v>
      </c>
      <c r="F352" s="7">
        <v>355.01</v>
      </c>
    </row>
    <row r="353" spans="1:6" x14ac:dyDescent="0.15">
      <c r="A353" s="7">
        <v>56</v>
      </c>
      <c r="B353" s="7" t="s">
        <v>344</v>
      </c>
      <c r="C353" s="7" t="s">
        <v>151</v>
      </c>
      <c r="D353" s="7">
        <v>2022</v>
      </c>
      <c r="E353" s="7">
        <v>9</v>
      </c>
      <c r="F353" s="7">
        <v>355.01</v>
      </c>
    </row>
    <row r="354" spans="1:6" x14ac:dyDescent="0.15">
      <c r="A354" s="7">
        <v>56</v>
      </c>
      <c r="B354" s="7" t="s">
        <v>344</v>
      </c>
      <c r="C354" s="7" t="s">
        <v>151</v>
      </c>
      <c r="D354" s="7">
        <v>2022</v>
      </c>
      <c r="E354" s="7">
        <v>10</v>
      </c>
      <c r="F354" s="7">
        <v>355.01</v>
      </c>
    </row>
    <row r="355" spans="1:6" x14ac:dyDescent="0.15">
      <c r="A355" s="7">
        <v>56</v>
      </c>
      <c r="B355" s="7" t="s">
        <v>344</v>
      </c>
      <c r="C355" s="7" t="s">
        <v>151</v>
      </c>
      <c r="D355" s="7">
        <v>2022</v>
      </c>
      <c r="E355" s="7">
        <v>11</v>
      </c>
      <c r="F355" s="7">
        <v>355.01</v>
      </c>
    </row>
    <row r="356" spans="1:6" x14ac:dyDescent="0.15">
      <c r="A356" s="7">
        <v>57</v>
      </c>
      <c r="B356" s="7" t="s">
        <v>345</v>
      </c>
      <c r="C356" s="7" t="s">
        <v>150</v>
      </c>
      <c r="D356" s="7">
        <v>2018</v>
      </c>
      <c r="E356" s="7">
        <v>1</v>
      </c>
      <c r="F356" s="7">
        <v>85.85</v>
      </c>
    </row>
    <row r="357" spans="1:6" x14ac:dyDescent="0.15">
      <c r="A357" s="7">
        <v>57</v>
      </c>
      <c r="B357" s="7" t="s">
        <v>345</v>
      </c>
      <c r="C357" s="7" t="s">
        <v>150</v>
      </c>
      <c r="D357" s="7">
        <v>2018</v>
      </c>
      <c r="E357" s="7">
        <v>2</v>
      </c>
      <c r="F357" s="7">
        <v>87.15</v>
      </c>
    </row>
    <row r="358" spans="1:6" x14ac:dyDescent="0.15">
      <c r="A358" s="7">
        <v>57</v>
      </c>
      <c r="B358" s="7" t="s">
        <v>345</v>
      </c>
      <c r="C358" s="7" t="s">
        <v>150</v>
      </c>
      <c r="D358" s="7">
        <v>2018</v>
      </c>
      <c r="E358" s="7">
        <v>3</v>
      </c>
      <c r="F358" s="7">
        <v>87.15</v>
      </c>
    </row>
    <row r="359" spans="1:6" x14ac:dyDescent="0.15">
      <c r="A359" s="7">
        <v>57</v>
      </c>
      <c r="B359" s="7" t="s">
        <v>345</v>
      </c>
      <c r="C359" s="7" t="s">
        <v>150</v>
      </c>
      <c r="D359" s="7">
        <v>2018</v>
      </c>
      <c r="E359" s="7">
        <v>4</v>
      </c>
      <c r="F359" s="7">
        <v>87.15</v>
      </c>
    </row>
    <row r="360" spans="1:6" x14ac:dyDescent="0.15">
      <c r="A360" s="7">
        <v>57</v>
      </c>
      <c r="B360" s="7" t="s">
        <v>345</v>
      </c>
      <c r="C360" s="7" t="s">
        <v>150</v>
      </c>
      <c r="D360" s="7">
        <v>2018</v>
      </c>
      <c r="E360" s="7">
        <v>5</v>
      </c>
      <c r="F360" s="7">
        <v>88.78</v>
      </c>
    </row>
    <row r="361" spans="1:6" x14ac:dyDescent="0.15">
      <c r="A361" s="7">
        <v>57</v>
      </c>
      <c r="B361" s="7" t="s">
        <v>345</v>
      </c>
      <c r="C361" s="7" t="s">
        <v>150</v>
      </c>
      <c r="D361" s="7">
        <v>2018</v>
      </c>
      <c r="E361" s="7">
        <v>6</v>
      </c>
      <c r="F361" s="7">
        <v>88.78</v>
      </c>
    </row>
    <row r="362" spans="1:6" x14ac:dyDescent="0.15">
      <c r="A362" s="7">
        <v>57</v>
      </c>
      <c r="B362" s="7" t="s">
        <v>345</v>
      </c>
      <c r="C362" s="7" t="s">
        <v>150</v>
      </c>
      <c r="D362" s="7">
        <v>2018</v>
      </c>
      <c r="E362" s="7">
        <v>7</v>
      </c>
      <c r="F362" s="7">
        <v>88.29</v>
      </c>
    </row>
    <row r="363" spans="1:6" x14ac:dyDescent="0.15">
      <c r="A363" s="7">
        <v>57</v>
      </c>
      <c r="B363" s="7" t="s">
        <v>345</v>
      </c>
      <c r="C363" s="7" t="s">
        <v>150</v>
      </c>
      <c r="D363" s="7">
        <v>2018</v>
      </c>
      <c r="E363" s="7">
        <v>8</v>
      </c>
      <c r="F363" s="7">
        <v>88.29</v>
      </c>
    </row>
    <row r="364" spans="1:6" x14ac:dyDescent="0.15">
      <c r="A364" s="7">
        <v>57</v>
      </c>
      <c r="B364" s="7" t="s">
        <v>345</v>
      </c>
      <c r="C364" s="7" t="s">
        <v>150</v>
      </c>
      <c r="D364" s="7">
        <v>2018</v>
      </c>
      <c r="E364" s="7">
        <v>9</v>
      </c>
      <c r="F364" s="7">
        <v>88.29</v>
      </c>
    </row>
    <row r="365" spans="1:6" x14ac:dyDescent="0.15">
      <c r="A365" s="7">
        <v>57</v>
      </c>
      <c r="B365" s="7" t="s">
        <v>345</v>
      </c>
      <c r="C365" s="7" t="s">
        <v>150</v>
      </c>
      <c r="D365" s="7">
        <v>2018</v>
      </c>
      <c r="E365" s="7">
        <v>10</v>
      </c>
      <c r="F365" s="7">
        <v>88.29</v>
      </c>
    </row>
    <row r="366" spans="1:6" x14ac:dyDescent="0.15">
      <c r="A366" s="7">
        <v>57</v>
      </c>
      <c r="B366" s="7" t="s">
        <v>345</v>
      </c>
      <c r="C366" s="7" t="s">
        <v>150</v>
      </c>
      <c r="D366" s="7">
        <v>2018</v>
      </c>
      <c r="E366" s="7">
        <v>11</v>
      </c>
      <c r="F366" s="7">
        <v>89.92</v>
      </c>
    </row>
    <row r="367" spans="1:6" x14ac:dyDescent="0.15">
      <c r="A367" s="7">
        <v>57</v>
      </c>
      <c r="B367" s="7" t="s">
        <v>345</v>
      </c>
      <c r="C367" s="7" t="s">
        <v>150</v>
      </c>
      <c r="D367" s="7">
        <v>2018</v>
      </c>
      <c r="E367" s="7">
        <v>12</v>
      </c>
      <c r="F367" s="7">
        <v>89.92</v>
      </c>
    </row>
    <row r="368" spans="1:6" x14ac:dyDescent="0.15">
      <c r="A368" s="7">
        <v>57</v>
      </c>
      <c r="B368" s="7" t="s">
        <v>345</v>
      </c>
      <c r="C368" s="7" t="s">
        <v>150</v>
      </c>
      <c r="D368" s="7">
        <v>2019</v>
      </c>
      <c r="E368" s="7">
        <v>1</v>
      </c>
      <c r="F368" s="7">
        <v>89.92</v>
      </c>
    </row>
    <row r="369" spans="1:6" x14ac:dyDescent="0.15">
      <c r="A369" s="7">
        <v>57</v>
      </c>
      <c r="B369" s="7" t="s">
        <v>345</v>
      </c>
      <c r="C369" s="7" t="s">
        <v>150</v>
      </c>
      <c r="D369" s="7">
        <v>2019</v>
      </c>
      <c r="E369" s="7">
        <v>2</v>
      </c>
      <c r="F369" s="7">
        <v>91.63</v>
      </c>
    </row>
    <row r="370" spans="1:6" x14ac:dyDescent="0.15">
      <c r="A370" s="7">
        <v>57</v>
      </c>
      <c r="B370" s="7" t="s">
        <v>345</v>
      </c>
      <c r="C370" s="7" t="s">
        <v>150</v>
      </c>
      <c r="D370" s="7">
        <v>2019</v>
      </c>
      <c r="E370" s="7">
        <v>3</v>
      </c>
      <c r="F370" s="7">
        <v>91.63</v>
      </c>
    </row>
    <row r="371" spans="1:6" x14ac:dyDescent="0.15">
      <c r="A371" s="7">
        <v>57</v>
      </c>
      <c r="B371" s="7" t="s">
        <v>345</v>
      </c>
      <c r="C371" s="7" t="s">
        <v>150</v>
      </c>
      <c r="D371" s="7">
        <v>2019</v>
      </c>
      <c r="E371" s="7">
        <v>4</v>
      </c>
      <c r="F371" s="7">
        <v>91.63</v>
      </c>
    </row>
    <row r="372" spans="1:6" x14ac:dyDescent="0.15">
      <c r="A372" s="7">
        <v>57</v>
      </c>
      <c r="B372" s="7" t="s">
        <v>345</v>
      </c>
      <c r="C372" s="7" t="s">
        <v>150</v>
      </c>
      <c r="D372" s="7">
        <v>2019</v>
      </c>
      <c r="E372" s="7">
        <v>5</v>
      </c>
      <c r="F372" s="7">
        <v>91.63</v>
      </c>
    </row>
    <row r="373" spans="1:6" x14ac:dyDescent="0.15">
      <c r="A373" s="7">
        <v>57</v>
      </c>
      <c r="B373" s="7" t="s">
        <v>345</v>
      </c>
      <c r="C373" s="7" t="s">
        <v>150</v>
      </c>
      <c r="D373" s="7">
        <v>2019</v>
      </c>
      <c r="E373" s="7">
        <v>6</v>
      </c>
      <c r="F373" s="7">
        <v>91.63</v>
      </c>
    </row>
    <row r="374" spans="1:6" x14ac:dyDescent="0.15">
      <c r="A374" s="7">
        <v>57</v>
      </c>
      <c r="B374" s="7" t="s">
        <v>345</v>
      </c>
      <c r="C374" s="7" t="s">
        <v>150</v>
      </c>
      <c r="D374" s="7">
        <v>2019</v>
      </c>
      <c r="E374" s="7">
        <v>7</v>
      </c>
      <c r="F374" s="7">
        <v>91.63</v>
      </c>
    </row>
    <row r="375" spans="1:6" x14ac:dyDescent="0.15">
      <c r="A375" s="7">
        <v>57</v>
      </c>
      <c r="B375" s="7" t="s">
        <v>345</v>
      </c>
      <c r="C375" s="7" t="s">
        <v>150</v>
      </c>
      <c r="D375" s="7">
        <v>2019</v>
      </c>
      <c r="E375" s="7">
        <v>8</v>
      </c>
      <c r="F375" s="7">
        <v>91.38</v>
      </c>
    </row>
    <row r="376" spans="1:6" x14ac:dyDescent="0.15">
      <c r="A376" s="7">
        <v>57</v>
      </c>
      <c r="B376" s="7" t="s">
        <v>345</v>
      </c>
      <c r="C376" s="7" t="s">
        <v>150</v>
      </c>
      <c r="D376" s="7">
        <v>2019</v>
      </c>
      <c r="E376" s="7">
        <v>9</v>
      </c>
      <c r="F376" s="7">
        <v>91.38</v>
      </c>
    </row>
    <row r="377" spans="1:6" x14ac:dyDescent="0.15">
      <c r="A377" s="7">
        <v>57</v>
      </c>
      <c r="B377" s="7" t="s">
        <v>345</v>
      </c>
      <c r="C377" s="7" t="s">
        <v>150</v>
      </c>
      <c r="D377" s="7">
        <v>2019</v>
      </c>
      <c r="E377" s="7">
        <v>10</v>
      </c>
      <c r="F377" s="7">
        <v>91.38</v>
      </c>
    </row>
    <row r="378" spans="1:6" x14ac:dyDescent="0.15">
      <c r="A378" s="7">
        <v>57</v>
      </c>
      <c r="B378" s="7" t="s">
        <v>345</v>
      </c>
      <c r="C378" s="7" t="s">
        <v>150</v>
      </c>
      <c r="D378" s="7">
        <v>2019</v>
      </c>
      <c r="E378" s="7">
        <v>11</v>
      </c>
      <c r="F378" s="7">
        <v>91.38</v>
      </c>
    </row>
    <row r="379" spans="1:6" x14ac:dyDescent="0.15">
      <c r="A379" s="7">
        <v>57</v>
      </c>
      <c r="B379" s="7" t="s">
        <v>345</v>
      </c>
      <c r="C379" s="7" t="s">
        <v>150</v>
      </c>
      <c r="D379" s="7">
        <v>2019</v>
      </c>
      <c r="E379" s="7">
        <v>12</v>
      </c>
      <c r="F379" s="7">
        <v>91.38</v>
      </c>
    </row>
    <row r="380" spans="1:6" x14ac:dyDescent="0.15">
      <c r="A380" s="7">
        <v>57</v>
      </c>
      <c r="B380" s="7" t="s">
        <v>345</v>
      </c>
      <c r="C380" s="7" t="s">
        <v>150</v>
      </c>
      <c r="D380" s="7">
        <v>2020</v>
      </c>
      <c r="E380" s="7">
        <v>1</v>
      </c>
      <c r="F380" s="7">
        <v>91.38</v>
      </c>
    </row>
    <row r="381" spans="1:6" x14ac:dyDescent="0.15">
      <c r="A381" s="7">
        <v>57</v>
      </c>
      <c r="B381" s="7" t="s">
        <v>345</v>
      </c>
      <c r="C381" s="7" t="s">
        <v>150</v>
      </c>
      <c r="D381" s="7">
        <v>2020</v>
      </c>
      <c r="E381" s="7">
        <v>2</v>
      </c>
      <c r="F381" s="7">
        <v>87.48</v>
      </c>
    </row>
    <row r="382" spans="1:6" x14ac:dyDescent="0.15">
      <c r="A382" s="7">
        <v>57</v>
      </c>
      <c r="B382" s="7" t="s">
        <v>345</v>
      </c>
      <c r="C382" s="7" t="s">
        <v>150</v>
      </c>
      <c r="D382" s="7">
        <v>2020</v>
      </c>
      <c r="E382" s="7">
        <v>3</v>
      </c>
      <c r="F382" s="7">
        <v>87.48</v>
      </c>
    </row>
    <row r="383" spans="1:6" x14ac:dyDescent="0.15">
      <c r="A383" s="7">
        <v>57</v>
      </c>
      <c r="B383" s="7" t="s">
        <v>345</v>
      </c>
      <c r="C383" s="7" t="s">
        <v>150</v>
      </c>
      <c r="D383" s="7">
        <v>2020</v>
      </c>
      <c r="E383" s="7">
        <v>4</v>
      </c>
      <c r="F383" s="7">
        <v>87.48</v>
      </c>
    </row>
    <row r="384" spans="1:6" x14ac:dyDescent="0.15">
      <c r="A384" s="7">
        <v>57</v>
      </c>
      <c r="B384" s="7" t="s">
        <v>345</v>
      </c>
      <c r="C384" s="7" t="s">
        <v>150</v>
      </c>
      <c r="D384" s="7">
        <v>2020</v>
      </c>
      <c r="E384" s="7">
        <v>5</v>
      </c>
      <c r="F384" s="7">
        <v>87.48</v>
      </c>
    </row>
    <row r="385" spans="1:6" x14ac:dyDescent="0.15">
      <c r="A385" s="7">
        <v>57</v>
      </c>
      <c r="B385" s="7" t="s">
        <v>345</v>
      </c>
      <c r="C385" s="7" t="s">
        <v>150</v>
      </c>
      <c r="D385" s="7">
        <v>2020</v>
      </c>
      <c r="E385" s="7">
        <v>6</v>
      </c>
      <c r="F385" s="7">
        <v>85.04</v>
      </c>
    </row>
    <row r="386" spans="1:6" x14ac:dyDescent="0.15">
      <c r="A386" s="7">
        <v>57</v>
      </c>
      <c r="B386" s="7" t="s">
        <v>345</v>
      </c>
      <c r="C386" s="7" t="s">
        <v>150</v>
      </c>
      <c r="D386" s="7">
        <v>2020</v>
      </c>
      <c r="E386" s="7">
        <v>7</v>
      </c>
      <c r="F386" s="7">
        <v>85.04</v>
      </c>
    </row>
    <row r="387" spans="1:6" x14ac:dyDescent="0.15">
      <c r="A387" s="7">
        <v>57</v>
      </c>
      <c r="B387" s="7" t="s">
        <v>345</v>
      </c>
      <c r="C387" s="7" t="s">
        <v>150</v>
      </c>
      <c r="D387" s="7">
        <v>2020</v>
      </c>
      <c r="E387" s="7">
        <v>8</v>
      </c>
      <c r="F387" s="7">
        <v>85.04</v>
      </c>
    </row>
    <row r="388" spans="1:6" x14ac:dyDescent="0.15">
      <c r="A388" s="7">
        <v>57</v>
      </c>
      <c r="B388" s="7" t="s">
        <v>345</v>
      </c>
      <c r="C388" s="7" t="s">
        <v>150</v>
      </c>
      <c r="D388" s="7">
        <v>2020</v>
      </c>
      <c r="E388" s="7">
        <v>9</v>
      </c>
      <c r="F388" s="7">
        <v>85.04</v>
      </c>
    </row>
    <row r="389" spans="1:6" x14ac:dyDescent="0.15">
      <c r="A389" s="7">
        <v>57</v>
      </c>
      <c r="B389" s="7" t="s">
        <v>345</v>
      </c>
      <c r="C389" s="7" t="s">
        <v>150</v>
      </c>
      <c r="D389" s="7">
        <v>2020</v>
      </c>
      <c r="E389" s="7">
        <v>10</v>
      </c>
      <c r="F389" s="7">
        <v>85.04</v>
      </c>
    </row>
    <row r="390" spans="1:6" x14ac:dyDescent="0.15">
      <c r="A390" s="7">
        <v>57</v>
      </c>
      <c r="B390" s="7" t="s">
        <v>345</v>
      </c>
      <c r="C390" s="7" t="s">
        <v>150</v>
      </c>
      <c r="D390" s="7">
        <v>2020</v>
      </c>
      <c r="E390" s="7">
        <v>11</v>
      </c>
      <c r="F390" s="7">
        <v>85.04</v>
      </c>
    </row>
    <row r="391" spans="1:6" x14ac:dyDescent="0.15">
      <c r="A391" s="7">
        <v>57</v>
      </c>
      <c r="B391" s="7" t="s">
        <v>345</v>
      </c>
      <c r="C391" s="7" t="s">
        <v>150</v>
      </c>
      <c r="D391" s="7">
        <v>2020</v>
      </c>
      <c r="E391" s="7">
        <v>12</v>
      </c>
      <c r="F391" s="7">
        <v>85.04</v>
      </c>
    </row>
    <row r="392" spans="1:6" x14ac:dyDescent="0.15">
      <c r="A392" s="7">
        <v>57</v>
      </c>
      <c r="B392" s="7" t="s">
        <v>345</v>
      </c>
      <c r="C392" s="7" t="s">
        <v>150</v>
      </c>
      <c r="D392" s="7">
        <v>2021</v>
      </c>
      <c r="E392" s="7">
        <v>1</v>
      </c>
      <c r="F392" s="7">
        <v>85.04</v>
      </c>
    </row>
    <row r="393" spans="1:6" x14ac:dyDescent="0.15">
      <c r="A393" s="7">
        <v>57</v>
      </c>
      <c r="B393" s="7" t="s">
        <v>345</v>
      </c>
      <c r="C393" s="7" t="s">
        <v>150</v>
      </c>
      <c r="D393" s="7">
        <v>2021</v>
      </c>
      <c r="E393" s="7">
        <v>2</v>
      </c>
      <c r="F393" s="7">
        <v>85.04</v>
      </c>
    </row>
    <row r="394" spans="1:6" x14ac:dyDescent="0.15">
      <c r="A394" s="7">
        <v>57</v>
      </c>
      <c r="B394" s="7" t="s">
        <v>345</v>
      </c>
      <c r="C394" s="7" t="s">
        <v>150</v>
      </c>
      <c r="D394" s="7">
        <v>2021</v>
      </c>
      <c r="E394" s="7">
        <v>3</v>
      </c>
      <c r="F394" s="7">
        <v>85.04</v>
      </c>
    </row>
    <row r="395" spans="1:6" x14ac:dyDescent="0.15">
      <c r="A395" s="7">
        <v>57</v>
      </c>
      <c r="B395" s="7" t="s">
        <v>345</v>
      </c>
      <c r="C395" s="7" t="s">
        <v>150</v>
      </c>
      <c r="D395" s="7">
        <v>2021</v>
      </c>
      <c r="E395" s="7">
        <v>4</v>
      </c>
      <c r="F395" s="7">
        <v>85.04</v>
      </c>
    </row>
    <row r="396" spans="1:6" x14ac:dyDescent="0.15">
      <c r="A396" s="7">
        <v>57</v>
      </c>
      <c r="B396" s="7" t="s">
        <v>345</v>
      </c>
      <c r="C396" s="7" t="s">
        <v>150</v>
      </c>
      <c r="D396" s="7">
        <v>2021</v>
      </c>
      <c r="E396" s="7">
        <v>5</v>
      </c>
      <c r="F396" s="7">
        <v>85.04</v>
      </c>
    </row>
    <row r="397" spans="1:6" x14ac:dyDescent="0.15">
      <c r="A397" s="7">
        <v>57</v>
      </c>
      <c r="B397" s="7" t="s">
        <v>345</v>
      </c>
      <c r="C397" s="7" t="s">
        <v>150</v>
      </c>
      <c r="D397" s="7">
        <v>2021</v>
      </c>
      <c r="E397" s="7">
        <v>6</v>
      </c>
      <c r="F397" s="7">
        <v>85.04</v>
      </c>
    </row>
    <row r="398" spans="1:6" x14ac:dyDescent="0.15">
      <c r="A398" s="7">
        <v>57</v>
      </c>
      <c r="B398" s="7" t="s">
        <v>345</v>
      </c>
      <c r="C398" s="7" t="s">
        <v>150</v>
      </c>
      <c r="D398" s="7">
        <v>2021</v>
      </c>
      <c r="E398" s="7">
        <v>7</v>
      </c>
      <c r="F398" s="7">
        <v>85.04</v>
      </c>
    </row>
    <row r="399" spans="1:6" x14ac:dyDescent="0.15">
      <c r="A399" s="7">
        <v>57</v>
      </c>
      <c r="B399" s="7" t="s">
        <v>345</v>
      </c>
      <c r="C399" s="7" t="s">
        <v>150</v>
      </c>
      <c r="D399" s="7">
        <v>2021</v>
      </c>
      <c r="E399" s="7">
        <v>8</v>
      </c>
      <c r="F399" s="7">
        <v>85.04</v>
      </c>
    </row>
    <row r="400" spans="1:6" x14ac:dyDescent="0.15">
      <c r="A400" s="7">
        <v>57</v>
      </c>
      <c r="B400" s="7" t="s">
        <v>345</v>
      </c>
      <c r="C400" s="7" t="s">
        <v>150</v>
      </c>
      <c r="D400" s="7">
        <v>2021</v>
      </c>
      <c r="E400" s="7">
        <v>9</v>
      </c>
      <c r="F400" s="7">
        <v>87.8</v>
      </c>
    </row>
    <row r="401" spans="1:6" x14ac:dyDescent="0.15">
      <c r="A401" s="7">
        <v>57</v>
      </c>
      <c r="B401" s="7" t="s">
        <v>345</v>
      </c>
      <c r="C401" s="7" t="s">
        <v>150</v>
      </c>
      <c r="D401" s="7">
        <v>2021</v>
      </c>
      <c r="E401" s="7">
        <v>10</v>
      </c>
      <c r="F401" s="7">
        <v>102.44</v>
      </c>
    </row>
    <row r="402" spans="1:6" x14ac:dyDescent="0.15">
      <c r="A402" s="7">
        <v>57</v>
      </c>
      <c r="B402" s="7" t="s">
        <v>345</v>
      </c>
      <c r="C402" s="7" t="s">
        <v>150</v>
      </c>
      <c r="D402" s="7">
        <v>2021</v>
      </c>
      <c r="E402" s="7">
        <v>11</v>
      </c>
      <c r="F402" s="7">
        <v>102.44</v>
      </c>
    </row>
    <row r="403" spans="1:6" x14ac:dyDescent="0.15">
      <c r="A403" s="7">
        <v>57</v>
      </c>
      <c r="B403" s="7" t="s">
        <v>345</v>
      </c>
      <c r="C403" s="7" t="s">
        <v>150</v>
      </c>
      <c r="D403" s="7">
        <v>2021</v>
      </c>
      <c r="E403" s="7">
        <v>12</v>
      </c>
      <c r="F403" s="7">
        <v>125.2</v>
      </c>
    </row>
    <row r="404" spans="1:6" x14ac:dyDescent="0.15">
      <c r="A404" s="7">
        <v>57</v>
      </c>
      <c r="B404" s="7" t="s">
        <v>345</v>
      </c>
      <c r="C404" s="7" t="s">
        <v>150</v>
      </c>
      <c r="D404" s="7">
        <v>2022</v>
      </c>
      <c r="E404" s="7">
        <v>1</v>
      </c>
      <c r="F404" s="7">
        <v>125.2</v>
      </c>
    </row>
    <row r="405" spans="1:6" x14ac:dyDescent="0.15">
      <c r="A405" s="7">
        <v>57</v>
      </c>
      <c r="B405" s="7" t="s">
        <v>345</v>
      </c>
      <c r="C405" s="7" t="s">
        <v>150</v>
      </c>
      <c r="D405" s="7">
        <v>2022</v>
      </c>
      <c r="E405" s="7">
        <v>2</v>
      </c>
      <c r="F405" s="7">
        <v>128.46</v>
      </c>
    </row>
    <row r="406" spans="1:6" x14ac:dyDescent="0.15">
      <c r="A406" s="7">
        <v>57</v>
      </c>
      <c r="B406" s="7" t="s">
        <v>345</v>
      </c>
      <c r="C406" s="7" t="s">
        <v>150</v>
      </c>
      <c r="D406" s="7">
        <v>2022</v>
      </c>
      <c r="E406" s="7">
        <v>3</v>
      </c>
      <c r="F406" s="7">
        <v>128.46</v>
      </c>
    </row>
    <row r="407" spans="1:6" x14ac:dyDescent="0.15">
      <c r="A407" s="7">
        <v>57</v>
      </c>
      <c r="B407" s="7" t="s">
        <v>345</v>
      </c>
      <c r="C407" s="7" t="s">
        <v>150</v>
      </c>
      <c r="D407" s="7">
        <v>2022</v>
      </c>
      <c r="E407" s="7">
        <v>4</v>
      </c>
      <c r="F407" s="7">
        <v>144.72</v>
      </c>
    </row>
    <row r="408" spans="1:6" x14ac:dyDescent="0.15">
      <c r="A408" s="7">
        <v>57</v>
      </c>
      <c r="B408" s="7" t="s">
        <v>345</v>
      </c>
      <c r="C408" s="7" t="s">
        <v>150</v>
      </c>
      <c r="D408" s="7">
        <v>2022</v>
      </c>
      <c r="E408" s="7">
        <v>5</v>
      </c>
      <c r="F408" s="7">
        <v>144.72</v>
      </c>
    </row>
    <row r="409" spans="1:6" x14ac:dyDescent="0.15">
      <c r="A409" s="7">
        <v>57</v>
      </c>
      <c r="B409" s="7" t="s">
        <v>345</v>
      </c>
      <c r="C409" s="7" t="s">
        <v>150</v>
      </c>
      <c r="D409" s="7">
        <v>2022</v>
      </c>
      <c r="E409" s="7">
        <v>6</v>
      </c>
      <c r="F409" s="7">
        <v>149.59</v>
      </c>
    </row>
    <row r="410" spans="1:6" x14ac:dyDescent="0.15">
      <c r="A410" s="7">
        <v>57</v>
      </c>
      <c r="B410" s="7" t="s">
        <v>345</v>
      </c>
      <c r="C410" s="7" t="s">
        <v>150</v>
      </c>
      <c r="D410" s="7">
        <v>2022</v>
      </c>
      <c r="E410" s="7">
        <v>7</v>
      </c>
      <c r="F410" s="7">
        <v>149.59</v>
      </c>
    </row>
    <row r="411" spans="1:6" x14ac:dyDescent="0.15">
      <c r="A411" s="7">
        <v>57</v>
      </c>
      <c r="B411" s="7" t="s">
        <v>345</v>
      </c>
      <c r="C411" s="7" t="s">
        <v>150</v>
      </c>
      <c r="D411" s="7">
        <v>2022</v>
      </c>
      <c r="E411" s="7">
        <v>8</v>
      </c>
      <c r="F411" s="7">
        <v>167.48</v>
      </c>
    </row>
    <row r="412" spans="1:6" x14ac:dyDescent="0.15">
      <c r="A412" s="7">
        <v>57</v>
      </c>
      <c r="B412" s="7" t="s">
        <v>345</v>
      </c>
      <c r="C412" s="7" t="s">
        <v>150</v>
      </c>
      <c r="D412" s="7">
        <v>2022</v>
      </c>
      <c r="E412" s="7">
        <v>9</v>
      </c>
      <c r="F412" s="7">
        <v>170.73</v>
      </c>
    </row>
    <row r="413" spans="1:6" x14ac:dyDescent="0.15">
      <c r="A413" s="7">
        <v>57</v>
      </c>
      <c r="B413" s="7" t="s">
        <v>345</v>
      </c>
      <c r="C413" s="7" t="s">
        <v>150</v>
      </c>
      <c r="D413" s="7">
        <v>2022</v>
      </c>
      <c r="E413" s="7">
        <v>10</v>
      </c>
      <c r="F413" s="7">
        <v>170.73</v>
      </c>
    </row>
    <row r="414" spans="1:6" x14ac:dyDescent="0.15">
      <c r="A414" s="7">
        <v>57</v>
      </c>
      <c r="B414" s="7" t="s">
        <v>345</v>
      </c>
      <c r="C414" s="7" t="s">
        <v>150</v>
      </c>
      <c r="D414" s="7">
        <v>2022</v>
      </c>
      <c r="E414" s="7">
        <v>11</v>
      </c>
      <c r="F414" s="7">
        <v>167.48</v>
      </c>
    </row>
    <row r="415" spans="1:6" x14ac:dyDescent="0.15">
      <c r="A415" s="7">
        <v>58</v>
      </c>
      <c r="B415" s="7" t="s">
        <v>159</v>
      </c>
      <c r="C415" s="7" t="s">
        <v>150</v>
      </c>
      <c r="D415" s="7">
        <v>2018</v>
      </c>
      <c r="E415" s="7">
        <v>1</v>
      </c>
      <c r="F415" s="7">
        <v>208.78</v>
      </c>
    </row>
    <row r="416" spans="1:6" x14ac:dyDescent="0.15">
      <c r="A416" s="7">
        <v>58</v>
      </c>
      <c r="B416" s="7" t="s">
        <v>159</v>
      </c>
      <c r="C416" s="7" t="s">
        <v>150</v>
      </c>
      <c r="D416" s="7">
        <v>2018</v>
      </c>
      <c r="E416" s="7">
        <v>2</v>
      </c>
      <c r="F416" s="7">
        <v>208.46</v>
      </c>
    </row>
    <row r="417" spans="1:6" x14ac:dyDescent="0.15">
      <c r="A417" s="7">
        <v>58</v>
      </c>
      <c r="B417" s="7" t="s">
        <v>159</v>
      </c>
      <c r="C417" s="7" t="s">
        <v>150</v>
      </c>
      <c r="D417" s="7">
        <v>2018</v>
      </c>
      <c r="E417" s="7">
        <v>3</v>
      </c>
      <c r="F417" s="7">
        <v>208.46</v>
      </c>
    </row>
    <row r="418" spans="1:6" x14ac:dyDescent="0.15">
      <c r="A418" s="7">
        <v>58</v>
      </c>
      <c r="B418" s="7" t="s">
        <v>159</v>
      </c>
      <c r="C418" s="7" t="s">
        <v>150</v>
      </c>
      <c r="D418" s="7">
        <v>2018</v>
      </c>
      <c r="E418" s="7">
        <v>4</v>
      </c>
      <c r="F418" s="7">
        <v>208.46</v>
      </c>
    </row>
    <row r="419" spans="1:6" x14ac:dyDescent="0.15">
      <c r="A419" s="7">
        <v>58</v>
      </c>
      <c r="B419" s="7" t="s">
        <v>159</v>
      </c>
      <c r="C419" s="7" t="s">
        <v>150</v>
      </c>
      <c r="D419" s="7">
        <v>2018</v>
      </c>
      <c r="E419" s="7">
        <v>5</v>
      </c>
      <c r="F419" s="7">
        <v>212.36</v>
      </c>
    </row>
    <row r="420" spans="1:6" x14ac:dyDescent="0.15">
      <c r="A420" s="7">
        <v>58</v>
      </c>
      <c r="B420" s="7" t="s">
        <v>159</v>
      </c>
      <c r="C420" s="7" t="s">
        <v>150</v>
      </c>
      <c r="D420" s="7">
        <v>2018</v>
      </c>
      <c r="E420" s="7">
        <v>6</v>
      </c>
      <c r="F420" s="7">
        <v>212.36</v>
      </c>
    </row>
    <row r="421" spans="1:6" x14ac:dyDescent="0.15">
      <c r="A421" s="7">
        <v>58</v>
      </c>
      <c r="B421" s="7" t="s">
        <v>159</v>
      </c>
      <c r="C421" s="7" t="s">
        <v>150</v>
      </c>
      <c r="D421" s="7">
        <v>2018</v>
      </c>
      <c r="E421" s="7">
        <v>7</v>
      </c>
      <c r="F421" s="7">
        <v>210.73</v>
      </c>
    </row>
    <row r="422" spans="1:6" x14ac:dyDescent="0.15">
      <c r="A422" s="7">
        <v>58</v>
      </c>
      <c r="B422" s="7" t="s">
        <v>159</v>
      </c>
      <c r="C422" s="7" t="s">
        <v>150</v>
      </c>
      <c r="D422" s="7">
        <v>2018</v>
      </c>
      <c r="E422" s="7">
        <v>8</v>
      </c>
      <c r="F422" s="7">
        <v>210.73</v>
      </c>
    </row>
    <row r="423" spans="1:6" x14ac:dyDescent="0.15">
      <c r="A423" s="7">
        <v>58</v>
      </c>
      <c r="B423" s="7" t="s">
        <v>159</v>
      </c>
      <c r="C423" s="7" t="s">
        <v>150</v>
      </c>
      <c r="D423" s="7">
        <v>2018</v>
      </c>
      <c r="E423" s="7">
        <v>9</v>
      </c>
      <c r="F423" s="7">
        <v>210.73</v>
      </c>
    </row>
    <row r="424" spans="1:6" x14ac:dyDescent="0.15">
      <c r="A424" s="7">
        <v>58</v>
      </c>
      <c r="B424" s="7" t="s">
        <v>159</v>
      </c>
      <c r="C424" s="7" t="s">
        <v>150</v>
      </c>
      <c r="D424" s="7">
        <v>2018</v>
      </c>
      <c r="E424" s="7">
        <v>10</v>
      </c>
      <c r="F424" s="7">
        <v>210.73</v>
      </c>
    </row>
    <row r="425" spans="1:6" x14ac:dyDescent="0.15">
      <c r="A425" s="7">
        <v>58</v>
      </c>
      <c r="B425" s="7" t="s">
        <v>159</v>
      </c>
      <c r="C425" s="7" t="s">
        <v>150</v>
      </c>
      <c r="D425" s="7">
        <v>2018</v>
      </c>
      <c r="E425" s="7">
        <v>11</v>
      </c>
      <c r="F425" s="7">
        <v>213.66</v>
      </c>
    </row>
    <row r="426" spans="1:6" x14ac:dyDescent="0.15">
      <c r="A426" s="7">
        <v>58</v>
      </c>
      <c r="B426" s="7" t="s">
        <v>159</v>
      </c>
      <c r="C426" s="7" t="s">
        <v>150</v>
      </c>
      <c r="D426" s="7">
        <v>2018</v>
      </c>
      <c r="E426" s="7">
        <v>12</v>
      </c>
      <c r="F426" s="7">
        <v>213.66</v>
      </c>
    </row>
    <row r="427" spans="1:6" x14ac:dyDescent="0.15">
      <c r="A427" s="7">
        <v>58</v>
      </c>
      <c r="B427" s="7" t="s">
        <v>159</v>
      </c>
      <c r="C427" s="7" t="s">
        <v>150</v>
      </c>
      <c r="D427" s="7">
        <v>2019</v>
      </c>
      <c r="E427" s="7">
        <v>1</v>
      </c>
      <c r="F427" s="7">
        <v>213.66</v>
      </c>
    </row>
    <row r="428" spans="1:6" x14ac:dyDescent="0.15">
      <c r="A428" s="7">
        <v>58</v>
      </c>
      <c r="B428" s="7" t="s">
        <v>159</v>
      </c>
      <c r="C428" s="7" t="s">
        <v>150</v>
      </c>
      <c r="D428" s="7">
        <v>2019</v>
      </c>
      <c r="E428" s="7">
        <v>2</v>
      </c>
      <c r="F428" s="7">
        <v>213.66</v>
      </c>
    </row>
    <row r="429" spans="1:6" x14ac:dyDescent="0.15">
      <c r="A429" s="7">
        <v>58</v>
      </c>
      <c r="B429" s="7" t="s">
        <v>159</v>
      </c>
      <c r="C429" s="7" t="s">
        <v>150</v>
      </c>
      <c r="D429" s="7">
        <v>2019</v>
      </c>
      <c r="E429" s="7">
        <v>3</v>
      </c>
      <c r="F429" s="7">
        <v>213.66</v>
      </c>
    </row>
    <row r="430" spans="1:6" x14ac:dyDescent="0.15">
      <c r="A430" s="7">
        <v>58</v>
      </c>
      <c r="B430" s="7" t="s">
        <v>159</v>
      </c>
      <c r="C430" s="7" t="s">
        <v>150</v>
      </c>
      <c r="D430" s="7">
        <v>2019</v>
      </c>
      <c r="E430" s="7">
        <v>4</v>
      </c>
      <c r="F430" s="7">
        <v>213.66</v>
      </c>
    </row>
    <row r="431" spans="1:6" x14ac:dyDescent="0.15">
      <c r="A431" s="7">
        <v>58</v>
      </c>
      <c r="B431" s="7" t="s">
        <v>159</v>
      </c>
      <c r="C431" s="7" t="s">
        <v>150</v>
      </c>
      <c r="D431" s="7">
        <v>2019</v>
      </c>
      <c r="E431" s="7">
        <v>5</v>
      </c>
      <c r="F431" s="7">
        <v>213.66</v>
      </c>
    </row>
    <row r="432" spans="1:6" x14ac:dyDescent="0.15">
      <c r="A432" s="7">
        <v>58</v>
      </c>
      <c r="B432" s="7" t="s">
        <v>159</v>
      </c>
      <c r="C432" s="7" t="s">
        <v>150</v>
      </c>
      <c r="D432" s="7">
        <v>2019</v>
      </c>
      <c r="E432" s="7">
        <v>6</v>
      </c>
      <c r="F432" s="7">
        <v>213.66</v>
      </c>
    </row>
    <row r="433" spans="1:6" x14ac:dyDescent="0.15">
      <c r="A433" s="7">
        <v>58</v>
      </c>
      <c r="B433" s="7" t="s">
        <v>159</v>
      </c>
      <c r="C433" s="7" t="s">
        <v>150</v>
      </c>
      <c r="D433" s="7">
        <v>2019</v>
      </c>
      <c r="E433" s="7">
        <v>7</v>
      </c>
      <c r="F433" s="7">
        <v>213.66</v>
      </c>
    </row>
    <row r="434" spans="1:6" x14ac:dyDescent="0.15">
      <c r="A434" s="7">
        <v>58</v>
      </c>
      <c r="B434" s="7" t="s">
        <v>159</v>
      </c>
      <c r="C434" s="7" t="s">
        <v>150</v>
      </c>
      <c r="D434" s="7">
        <v>2019</v>
      </c>
      <c r="E434" s="7">
        <v>8</v>
      </c>
      <c r="F434" s="7">
        <v>212.68</v>
      </c>
    </row>
    <row r="435" spans="1:6" x14ac:dyDescent="0.15">
      <c r="A435" s="7">
        <v>58</v>
      </c>
      <c r="B435" s="7" t="s">
        <v>159</v>
      </c>
      <c r="C435" s="7" t="s">
        <v>150</v>
      </c>
      <c r="D435" s="7">
        <v>2019</v>
      </c>
      <c r="E435" s="7">
        <v>9</v>
      </c>
      <c r="F435" s="7">
        <v>212.68</v>
      </c>
    </row>
    <row r="436" spans="1:6" x14ac:dyDescent="0.15">
      <c r="A436" s="7">
        <v>58</v>
      </c>
      <c r="B436" s="7" t="s">
        <v>159</v>
      </c>
      <c r="C436" s="7" t="s">
        <v>150</v>
      </c>
      <c r="D436" s="7">
        <v>2019</v>
      </c>
      <c r="E436" s="7">
        <v>10</v>
      </c>
      <c r="F436" s="7">
        <v>212.68</v>
      </c>
    </row>
    <row r="437" spans="1:6" x14ac:dyDescent="0.15">
      <c r="A437" s="7">
        <v>58</v>
      </c>
      <c r="B437" s="7" t="s">
        <v>159</v>
      </c>
      <c r="C437" s="7" t="s">
        <v>150</v>
      </c>
      <c r="D437" s="7">
        <v>2019</v>
      </c>
      <c r="E437" s="7">
        <v>11</v>
      </c>
      <c r="F437" s="7">
        <v>212.68</v>
      </c>
    </row>
    <row r="438" spans="1:6" x14ac:dyDescent="0.15">
      <c r="A438" s="7">
        <v>58</v>
      </c>
      <c r="B438" s="7" t="s">
        <v>159</v>
      </c>
      <c r="C438" s="7" t="s">
        <v>150</v>
      </c>
      <c r="D438" s="7">
        <v>2019</v>
      </c>
      <c r="E438" s="7">
        <v>12</v>
      </c>
      <c r="F438" s="7">
        <v>212.68</v>
      </c>
    </row>
    <row r="439" spans="1:6" x14ac:dyDescent="0.15">
      <c r="A439" s="7">
        <v>58</v>
      </c>
      <c r="B439" s="7" t="s">
        <v>159</v>
      </c>
      <c r="C439" s="7" t="s">
        <v>150</v>
      </c>
      <c r="D439" s="7">
        <v>2020</v>
      </c>
      <c r="E439" s="7">
        <v>1</v>
      </c>
      <c r="F439" s="7">
        <v>212.68</v>
      </c>
    </row>
    <row r="440" spans="1:6" x14ac:dyDescent="0.15">
      <c r="A440" s="7">
        <v>58</v>
      </c>
      <c r="B440" s="7" t="s">
        <v>159</v>
      </c>
      <c r="C440" s="7" t="s">
        <v>150</v>
      </c>
      <c r="D440" s="7">
        <v>2020</v>
      </c>
      <c r="E440" s="7">
        <v>2</v>
      </c>
      <c r="F440" s="7">
        <v>212.68</v>
      </c>
    </row>
    <row r="441" spans="1:6" x14ac:dyDescent="0.15">
      <c r="A441" s="7">
        <v>58</v>
      </c>
      <c r="B441" s="7" t="s">
        <v>159</v>
      </c>
      <c r="C441" s="7" t="s">
        <v>150</v>
      </c>
      <c r="D441" s="7">
        <v>2020</v>
      </c>
      <c r="E441" s="7">
        <v>3</v>
      </c>
      <c r="F441" s="7">
        <v>212.68</v>
      </c>
    </row>
    <row r="442" spans="1:6" x14ac:dyDescent="0.15">
      <c r="A442" s="7">
        <v>58</v>
      </c>
      <c r="B442" s="7" t="s">
        <v>159</v>
      </c>
      <c r="C442" s="7" t="s">
        <v>150</v>
      </c>
      <c r="D442" s="7">
        <v>2020</v>
      </c>
      <c r="E442" s="7">
        <v>4</v>
      </c>
      <c r="F442" s="7">
        <v>212.68</v>
      </c>
    </row>
    <row r="443" spans="1:6" x14ac:dyDescent="0.15">
      <c r="A443" s="7">
        <v>58</v>
      </c>
      <c r="B443" s="7" t="s">
        <v>159</v>
      </c>
      <c r="C443" s="7" t="s">
        <v>150</v>
      </c>
      <c r="D443" s="7">
        <v>2020</v>
      </c>
      <c r="E443" s="7">
        <v>5</v>
      </c>
      <c r="F443" s="7">
        <v>212.68</v>
      </c>
    </row>
    <row r="444" spans="1:6" x14ac:dyDescent="0.15">
      <c r="A444" s="7">
        <v>58</v>
      </c>
      <c r="B444" s="7" t="s">
        <v>159</v>
      </c>
      <c r="C444" s="7" t="s">
        <v>150</v>
      </c>
      <c r="D444" s="7">
        <v>2020</v>
      </c>
      <c r="E444" s="7">
        <v>6</v>
      </c>
      <c r="F444" s="7">
        <v>208.13</v>
      </c>
    </row>
    <row r="445" spans="1:6" x14ac:dyDescent="0.15">
      <c r="A445" s="7">
        <v>58</v>
      </c>
      <c r="B445" s="7" t="s">
        <v>159</v>
      </c>
      <c r="C445" s="7" t="s">
        <v>150</v>
      </c>
      <c r="D445" s="7">
        <v>2020</v>
      </c>
      <c r="E445" s="7">
        <v>7</v>
      </c>
      <c r="F445" s="7">
        <v>208.13</v>
      </c>
    </row>
    <row r="446" spans="1:6" x14ac:dyDescent="0.15">
      <c r="A446" s="7">
        <v>58</v>
      </c>
      <c r="B446" s="7" t="s">
        <v>159</v>
      </c>
      <c r="C446" s="7" t="s">
        <v>150</v>
      </c>
      <c r="D446" s="7">
        <v>2020</v>
      </c>
      <c r="E446" s="7">
        <v>8</v>
      </c>
      <c r="F446" s="7">
        <v>208.13</v>
      </c>
    </row>
    <row r="447" spans="1:6" x14ac:dyDescent="0.15">
      <c r="A447" s="7">
        <v>58</v>
      </c>
      <c r="B447" s="7" t="s">
        <v>159</v>
      </c>
      <c r="C447" s="7" t="s">
        <v>150</v>
      </c>
      <c r="D447" s="7">
        <v>2020</v>
      </c>
      <c r="E447" s="7">
        <v>9</v>
      </c>
      <c r="F447" s="7">
        <v>208.13</v>
      </c>
    </row>
    <row r="448" spans="1:6" x14ac:dyDescent="0.15">
      <c r="A448" s="7">
        <v>58</v>
      </c>
      <c r="B448" s="7" t="s">
        <v>159</v>
      </c>
      <c r="C448" s="7" t="s">
        <v>150</v>
      </c>
      <c r="D448" s="7">
        <v>2020</v>
      </c>
      <c r="E448" s="7">
        <v>10</v>
      </c>
      <c r="F448" s="7">
        <v>208.13</v>
      </c>
    </row>
    <row r="449" spans="1:6" x14ac:dyDescent="0.15">
      <c r="A449" s="7">
        <v>58</v>
      </c>
      <c r="B449" s="7" t="s">
        <v>159</v>
      </c>
      <c r="C449" s="7" t="s">
        <v>150</v>
      </c>
      <c r="D449" s="7">
        <v>2020</v>
      </c>
      <c r="E449" s="7">
        <v>11</v>
      </c>
      <c r="F449" s="7">
        <v>208.13</v>
      </c>
    </row>
    <row r="450" spans="1:6" x14ac:dyDescent="0.15">
      <c r="A450" s="7">
        <v>58</v>
      </c>
      <c r="B450" s="7" t="s">
        <v>159</v>
      </c>
      <c r="C450" s="7" t="s">
        <v>150</v>
      </c>
      <c r="D450" s="7">
        <v>2020</v>
      </c>
      <c r="E450" s="7">
        <v>12</v>
      </c>
      <c r="F450" s="7">
        <v>203.25</v>
      </c>
    </row>
    <row r="451" spans="1:6" x14ac:dyDescent="0.15">
      <c r="A451" s="7">
        <v>58</v>
      </c>
      <c r="B451" s="7" t="s">
        <v>159</v>
      </c>
      <c r="C451" s="7" t="s">
        <v>150</v>
      </c>
      <c r="D451" s="7">
        <v>2021</v>
      </c>
      <c r="E451" s="7">
        <v>1</v>
      </c>
      <c r="F451" s="7">
        <v>203.25</v>
      </c>
    </row>
    <row r="452" spans="1:6" x14ac:dyDescent="0.15">
      <c r="A452" s="7">
        <v>58</v>
      </c>
      <c r="B452" s="7" t="s">
        <v>159</v>
      </c>
      <c r="C452" s="7" t="s">
        <v>150</v>
      </c>
      <c r="D452" s="7">
        <v>2021</v>
      </c>
      <c r="E452" s="7">
        <v>2</v>
      </c>
      <c r="F452" s="7">
        <v>203.25</v>
      </c>
    </row>
    <row r="453" spans="1:6" x14ac:dyDescent="0.15">
      <c r="A453" s="7">
        <v>58</v>
      </c>
      <c r="B453" s="7" t="s">
        <v>159</v>
      </c>
      <c r="C453" s="7" t="s">
        <v>150</v>
      </c>
      <c r="D453" s="7">
        <v>2021</v>
      </c>
      <c r="E453" s="7">
        <v>3</v>
      </c>
      <c r="F453" s="7">
        <v>203.25</v>
      </c>
    </row>
    <row r="454" spans="1:6" x14ac:dyDescent="0.15">
      <c r="A454" s="7">
        <v>58</v>
      </c>
      <c r="B454" s="7" t="s">
        <v>159</v>
      </c>
      <c r="C454" s="7" t="s">
        <v>150</v>
      </c>
      <c r="D454" s="7">
        <v>2021</v>
      </c>
      <c r="E454" s="7">
        <v>4</v>
      </c>
      <c r="F454" s="7">
        <v>203.25</v>
      </c>
    </row>
    <row r="455" spans="1:6" x14ac:dyDescent="0.15">
      <c r="A455" s="7">
        <v>58</v>
      </c>
      <c r="B455" s="7" t="s">
        <v>159</v>
      </c>
      <c r="C455" s="7" t="s">
        <v>150</v>
      </c>
      <c r="D455" s="7">
        <v>2021</v>
      </c>
      <c r="E455" s="7">
        <v>5</v>
      </c>
      <c r="F455" s="7">
        <v>203.25</v>
      </c>
    </row>
    <row r="456" spans="1:6" x14ac:dyDescent="0.15">
      <c r="A456" s="7">
        <v>58</v>
      </c>
      <c r="B456" s="7" t="s">
        <v>159</v>
      </c>
      <c r="C456" s="7" t="s">
        <v>150</v>
      </c>
      <c r="D456" s="7">
        <v>2021</v>
      </c>
      <c r="E456" s="7">
        <v>6</v>
      </c>
      <c r="F456" s="7">
        <v>208.13</v>
      </c>
    </row>
    <row r="457" spans="1:6" x14ac:dyDescent="0.15">
      <c r="A457" s="7">
        <v>58</v>
      </c>
      <c r="B457" s="7" t="s">
        <v>159</v>
      </c>
      <c r="C457" s="7" t="s">
        <v>150</v>
      </c>
      <c r="D457" s="7">
        <v>2021</v>
      </c>
      <c r="E457" s="7">
        <v>7</v>
      </c>
      <c r="F457" s="7">
        <v>208.13</v>
      </c>
    </row>
    <row r="458" spans="1:6" x14ac:dyDescent="0.15">
      <c r="A458" s="7">
        <v>58</v>
      </c>
      <c r="B458" s="7" t="s">
        <v>159</v>
      </c>
      <c r="C458" s="7" t="s">
        <v>150</v>
      </c>
      <c r="D458" s="7">
        <v>2021</v>
      </c>
      <c r="E458" s="7">
        <v>8</v>
      </c>
      <c r="F458" s="7">
        <v>208.13</v>
      </c>
    </row>
    <row r="459" spans="1:6" x14ac:dyDescent="0.15">
      <c r="A459" s="7">
        <v>58</v>
      </c>
      <c r="B459" s="7" t="s">
        <v>159</v>
      </c>
      <c r="C459" s="7" t="s">
        <v>150</v>
      </c>
      <c r="D459" s="7">
        <v>2021</v>
      </c>
      <c r="E459" s="7">
        <v>9</v>
      </c>
      <c r="F459" s="7">
        <v>203.25</v>
      </c>
    </row>
    <row r="460" spans="1:6" x14ac:dyDescent="0.15">
      <c r="A460" s="7">
        <v>58</v>
      </c>
      <c r="B460" s="7" t="s">
        <v>159</v>
      </c>
      <c r="C460" s="7" t="s">
        <v>150</v>
      </c>
      <c r="D460" s="7">
        <v>2021</v>
      </c>
      <c r="E460" s="7">
        <v>10</v>
      </c>
      <c r="F460" s="7">
        <v>211.38</v>
      </c>
    </row>
    <row r="461" spans="1:6" x14ac:dyDescent="0.15">
      <c r="A461" s="7">
        <v>58</v>
      </c>
      <c r="B461" s="7" t="s">
        <v>159</v>
      </c>
      <c r="C461" s="7" t="s">
        <v>150</v>
      </c>
      <c r="D461" s="7">
        <v>2021</v>
      </c>
      <c r="E461" s="7">
        <v>11</v>
      </c>
      <c r="F461" s="7">
        <v>211.38</v>
      </c>
    </row>
    <row r="462" spans="1:6" x14ac:dyDescent="0.15">
      <c r="A462" s="7">
        <v>58</v>
      </c>
      <c r="B462" s="7" t="s">
        <v>159</v>
      </c>
      <c r="C462" s="7" t="s">
        <v>150</v>
      </c>
      <c r="D462" s="7">
        <v>2021</v>
      </c>
      <c r="E462" s="7">
        <v>12</v>
      </c>
      <c r="F462" s="7">
        <v>250.41</v>
      </c>
    </row>
    <row r="463" spans="1:6" x14ac:dyDescent="0.15">
      <c r="A463" s="7">
        <v>58</v>
      </c>
      <c r="B463" s="7" t="s">
        <v>159</v>
      </c>
      <c r="C463" s="7" t="s">
        <v>150</v>
      </c>
      <c r="D463" s="7">
        <v>2022</v>
      </c>
      <c r="E463" s="7">
        <v>1</v>
      </c>
      <c r="F463" s="7">
        <v>250.41</v>
      </c>
    </row>
    <row r="464" spans="1:6" x14ac:dyDescent="0.15">
      <c r="A464" s="7">
        <v>58</v>
      </c>
      <c r="B464" s="7" t="s">
        <v>159</v>
      </c>
      <c r="C464" s="7" t="s">
        <v>150</v>
      </c>
      <c r="D464" s="7">
        <v>2022</v>
      </c>
      <c r="E464" s="7">
        <v>2</v>
      </c>
      <c r="F464" s="7">
        <v>250.41</v>
      </c>
    </row>
    <row r="465" spans="1:6" x14ac:dyDescent="0.15">
      <c r="A465" s="7">
        <v>58</v>
      </c>
      <c r="B465" s="7" t="s">
        <v>159</v>
      </c>
      <c r="C465" s="7" t="s">
        <v>150</v>
      </c>
      <c r="D465" s="7">
        <v>2022</v>
      </c>
      <c r="E465" s="7">
        <v>3</v>
      </c>
      <c r="F465" s="7">
        <v>250.41</v>
      </c>
    </row>
    <row r="466" spans="1:6" x14ac:dyDescent="0.15">
      <c r="A466" s="7">
        <v>58</v>
      </c>
      <c r="B466" s="7" t="s">
        <v>159</v>
      </c>
      <c r="C466" s="7" t="s">
        <v>150</v>
      </c>
      <c r="D466" s="7">
        <v>2022</v>
      </c>
      <c r="E466" s="7">
        <v>4</v>
      </c>
      <c r="F466" s="7">
        <v>282.93</v>
      </c>
    </row>
    <row r="467" spans="1:6" x14ac:dyDescent="0.15">
      <c r="A467" s="7">
        <v>58</v>
      </c>
      <c r="B467" s="7" t="s">
        <v>159</v>
      </c>
      <c r="C467" s="7" t="s">
        <v>150</v>
      </c>
      <c r="D467" s="7">
        <v>2022</v>
      </c>
      <c r="E467" s="7">
        <v>5</v>
      </c>
      <c r="F467" s="7">
        <v>282.93</v>
      </c>
    </row>
    <row r="468" spans="1:6" x14ac:dyDescent="0.15">
      <c r="A468" s="7">
        <v>58</v>
      </c>
      <c r="B468" s="7" t="s">
        <v>159</v>
      </c>
      <c r="C468" s="7" t="s">
        <v>150</v>
      </c>
      <c r="D468" s="7">
        <v>2022</v>
      </c>
      <c r="E468" s="7">
        <v>6</v>
      </c>
      <c r="F468" s="7">
        <v>282.93</v>
      </c>
    </row>
    <row r="469" spans="1:6" x14ac:dyDescent="0.15">
      <c r="A469" s="7">
        <v>58</v>
      </c>
      <c r="B469" s="7" t="s">
        <v>159</v>
      </c>
      <c r="C469" s="7" t="s">
        <v>150</v>
      </c>
      <c r="D469" s="7">
        <v>2022</v>
      </c>
      <c r="E469" s="7">
        <v>7</v>
      </c>
      <c r="F469" s="7">
        <v>282.93</v>
      </c>
    </row>
    <row r="470" spans="1:6" x14ac:dyDescent="0.15">
      <c r="A470" s="7">
        <v>58</v>
      </c>
      <c r="B470" s="7" t="s">
        <v>159</v>
      </c>
      <c r="C470" s="7" t="s">
        <v>150</v>
      </c>
      <c r="D470" s="7">
        <v>2022</v>
      </c>
      <c r="E470" s="7">
        <v>8</v>
      </c>
      <c r="F470" s="7">
        <v>299.19</v>
      </c>
    </row>
    <row r="471" spans="1:6" x14ac:dyDescent="0.15">
      <c r="A471" s="7">
        <v>58</v>
      </c>
      <c r="B471" s="7" t="s">
        <v>159</v>
      </c>
      <c r="C471" s="7" t="s">
        <v>150</v>
      </c>
      <c r="D471" s="7">
        <v>2022</v>
      </c>
      <c r="E471" s="7">
        <v>9</v>
      </c>
      <c r="F471" s="7">
        <v>299.19</v>
      </c>
    </row>
    <row r="472" spans="1:6" x14ac:dyDescent="0.15">
      <c r="A472" s="7">
        <v>58</v>
      </c>
      <c r="B472" s="7" t="s">
        <v>159</v>
      </c>
      <c r="C472" s="7" t="s">
        <v>150</v>
      </c>
      <c r="D472" s="7">
        <v>2022</v>
      </c>
      <c r="E472" s="7">
        <v>10</v>
      </c>
      <c r="F472" s="7">
        <v>299.19</v>
      </c>
    </row>
    <row r="473" spans="1:6" x14ac:dyDescent="0.15">
      <c r="A473" s="7">
        <v>58</v>
      </c>
      <c r="B473" s="7" t="s">
        <v>159</v>
      </c>
      <c r="C473" s="7" t="s">
        <v>150</v>
      </c>
      <c r="D473" s="7">
        <v>2022</v>
      </c>
      <c r="E473" s="7">
        <v>11</v>
      </c>
      <c r="F473" s="7">
        <v>286.18</v>
      </c>
    </row>
    <row r="474" spans="1:6" x14ac:dyDescent="0.15">
      <c r="A474" s="7">
        <v>59</v>
      </c>
      <c r="B474" s="7" t="s">
        <v>533</v>
      </c>
      <c r="C474" s="7" t="s">
        <v>150</v>
      </c>
      <c r="D474" s="7">
        <v>2018</v>
      </c>
      <c r="E474" s="7">
        <v>1</v>
      </c>
      <c r="F474" s="7">
        <v>165.27</v>
      </c>
    </row>
    <row r="475" spans="1:6" x14ac:dyDescent="0.15">
      <c r="A475" s="7">
        <v>59</v>
      </c>
      <c r="B475" s="7" t="s">
        <v>533</v>
      </c>
      <c r="C475" s="7" t="s">
        <v>150</v>
      </c>
      <c r="D475" s="7">
        <v>2018</v>
      </c>
      <c r="E475" s="7">
        <v>2</v>
      </c>
      <c r="F475" s="7">
        <v>165.07</v>
      </c>
    </row>
    <row r="476" spans="1:6" x14ac:dyDescent="0.15">
      <c r="A476" s="7">
        <v>59</v>
      </c>
      <c r="B476" s="7" t="s">
        <v>533</v>
      </c>
      <c r="C476" s="7" t="s">
        <v>150</v>
      </c>
      <c r="D476" s="7">
        <v>2018</v>
      </c>
      <c r="E476" s="7">
        <v>3</v>
      </c>
      <c r="F476" s="7">
        <v>165.07</v>
      </c>
    </row>
    <row r="477" spans="1:6" x14ac:dyDescent="0.15">
      <c r="A477" s="7">
        <v>59</v>
      </c>
      <c r="B477" s="7" t="s">
        <v>533</v>
      </c>
      <c r="C477" s="7" t="s">
        <v>150</v>
      </c>
      <c r="D477" s="7">
        <v>2018</v>
      </c>
      <c r="E477" s="7">
        <v>4</v>
      </c>
      <c r="F477" s="7">
        <v>165.07</v>
      </c>
    </row>
    <row r="478" spans="1:6" x14ac:dyDescent="0.15">
      <c r="A478" s="7">
        <v>59</v>
      </c>
      <c r="B478" s="7" t="s">
        <v>533</v>
      </c>
      <c r="C478" s="7" t="s">
        <v>150</v>
      </c>
      <c r="D478" s="7">
        <v>2018</v>
      </c>
      <c r="E478" s="7">
        <v>5</v>
      </c>
      <c r="F478" s="7">
        <v>168</v>
      </c>
    </row>
    <row r="479" spans="1:6" x14ac:dyDescent="0.15">
      <c r="A479" s="7">
        <v>59</v>
      </c>
      <c r="B479" s="7" t="s">
        <v>533</v>
      </c>
      <c r="C479" s="7" t="s">
        <v>150</v>
      </c>
      <c r="D479" s="7">
        <v>2018</v>
      </c>
      <c r="E479" s="7">
        <v>6</v>
      </c>
      <c r="F479" s="7">
        <v>168</v>
      </c>
    </row>
    <row r="480" spans="1:6" x14ac:dyDescent="0.15">
      <c r="A480" s="7">
        <v>59</v>
      </c>
      <c r="B480" s="7" t="s">
        <v>533</v>
      </c>
      <c r="C480" s="7" t="s">
        <v>150</v>
      </c>
      <c r="D480" s="7">
        <v>2018</v>
      </c>
      <c r="E480" s="7">
        <v>7</v>
      </c>
      <c r="F480" s="7">
        <v>166.44</v>
      </c>
    </row>
    <row r="481" spans="1:6" x14ac:dyDescent="0.15">
      <c r="A481" s="7">
        <v>59</v>
      </c>
      <c r="B481" s="7" t="s">
        <v>533</v>
      </c>
      <c r="C481" s="7" t="s">
        <v>150</v>
      </c>
      <c r="D481" s="7">
        <v>2018</v>
      </c>
      <c r="E481" s="7">
        <v>8</v>
      </c>
      <c r="F481" s="7">
        <v>166.44</v>
      </c>
    </row>
    <row r="482" spans="1:6" x14ac:dyDescent="0.15">
      <c r="A482" s="7">
        <v>59</v>
      </c>
      <c r="B482" s="7" t="s">
        <v>533</v>
      </c>
      <c r="C482" s="7" t="s">
        <v>150</v>
      </c>
      <c r="D482" s="7">
        <v>2018</v>
      </c>
      <c r="E482" s="7">
        <v>9</v>
      </c>
      <c r="F482" s="7">
        <v>166.44</v>
      </c>
    </row>
    <row r="483" spans="1:6" x14ac:dyDescent="0.15">
      <c r="A483" s="7">
        <v>59</v>
      </c>
      <c r="B483" s="7" t="s">
        <v>533</v>
      </c>
      <c r="C483" s="7" t="s">
        <v>150</v>
      </c>
      <c r="D483" s="7">
        <v>2018</v>
      </c>
      <c r="E483" s="7">
        <v>10</v>
      </c>
      <c r="F483" s="7">
        <v>166.44</v>
      </c>
    </row>
    <row r="484" spans="1:6" x14ac:dyDescent="0.15">
      <c r="A484" s="7">
        <v>59</v>
      </c>
      <c r="B484" s="7" t="s">
        <v>533</v>
      </c>
      <c r="C484" s="7" t="s">
        <v>150</v>
      </c>
      <c r="D484" s="7">
        <v>2018</v>
      </c>
      <c r="E484" s="7">
        <v>11</v>
      </c>
      <c r="F484" s="7">
        <v>168.98</v>
      </c>
    </row>
    <row r="485" spans="1:6" x14ac:dyDescent="0.15">
      <c r="A485" s="7">
        <v>59</v>
      </c>
      <c r="B485" s="7" t="s">
        <v>533</v>
      </c>
      <c r="C485" s="7" t="s">
        <v>150</v>
      </c>
      <c r="D485" s="7">
        <v>2018</v>
      </c>
      <c r="E485" s="7">
        <v>12</v>
      </c>
      <c r="F485" s="7">
        <v>168.98</v>
      </c>
    </row>
    <row r="486" spans="1:6" x14ac:dyDescent="0.15">
      <c r="A486" s="7">
        <v>59</v>
      </c>
      <c r="B486" s="7" t="s">
        <v>533</v>
      </c>
      <c r="C486" s="7" t="s">
        <v>150</v>
      </c>
      <c r="D486" s="7">
        <v>2019</v>
      </c>
      <c r="E486" s="7">
        <v>1</v>
      </c>
      <c r="F486" s="7">
        <v>168.98</v>
      </c>
    </row>
    <row r="487" spans="1:6" x14ac:dyDescent="0.15">
      <c r="A487" s="7">
        <v>59</v>
      </c>
      <c r="B487" s="7" t="s">
        <v>533</v>
      </c>
      <c r="C487" s="7" t="s">
        <v>150</v>
      </c>
      <c r="D487" s="7">
        <v>2019</v>
      </c>
      <c r="E487" s="7">
        <v>2</v>
      </c>
      <c r="F487" s="7">
        <v>175.12</v>
      </c>
    </row>
    <row r="488" spans="1:6" x14ac:dyDescent="0.15">
      <c r="A488" s="7">
        <v>59</v>
      </c>
      <c r="B488" s="7" t="s">
        <v>533</v>
      </c>
      <c r="C488" s="7" t="s">
        <v>150</v>
      </c>
      <c r="D488" s="7">
        <v>2019</v>
      </c>
      <c r="E488" s="7">
        <v>3</v>
      </c>
      <c r="F488" s="7">
        <v>175.12</v>
      </c>
    </row>
    <row r="489" spans="1:6" x14ac:dyDescent="0.15">
      <c r="A489" s="7">
        <v>59</v>
      </c>
      <c r="B489" s="7" t="s">
        <v>533</v>
      </c>
      <c r="C489" s="7" t="s">
        <v>150</v>
      </c>
      <c r="D489" s="7">
        <v>2019</v>
      </c>
      <c r="E489" s="7">
        <v>4</v>
      </c>
      <c r="F489" s="7">
        <v>175.12</v>
      </c>
    </row>
    <row r="490" spans="1:6" x14ac:dyDescent="0.15">
      <c r="A490" s="7">
        <v>59</v>
      </c>
      <c r="B490" s="7" t="s">
        <v>533</v>
      </c>
      <c r="C490" s="7" t="s">
        <v>150</v>
      </c>
      <c r="D490" s="7">
        <v>2019</v>
      </c>
      <c r="E490" s="7">
        <v>5</v>
      </c>
      <c r="F490" s="7">
        <v>175.12</v>
      </c>
    </row>
    <row r="491" spans="1:6" x14ac:dyDescent="0.15">
      <c r="A491" s="7">
        <v>59</v>
      </c>
      <c r="B491" s="7" t="s">
        <v>533</v>
      </c>
      <c r="C491" s="7" t="s">
        <v>150</v>
      </c>
      <c r="D491" s="7">
        <v>2019</v>
      </c>
      <c r="E491" s="7">
        <v>6</v>
      </c>
      <c r="F491" s="7">
        <v>175.12</v>
      </c>
    </row>
    <row r="492" spans="1:6" x14ac:dyDescent="0.15">
      <c r="A492" s="7">
        <v>59</v>
      </c>
      <c r="B492" s="7" t="s">
        <v>533</v>
      </c>
      <c r="C492" s="7" t="s">
        <v>150</v>
      </c>
      <c r="D492" s="7">
        <v>2019</v>
      </c>
      <c r="E492" s="7">
        <v>7</v>
      </c>
      <c r="F492" s="7">
        <v>175.12</v>
      </c>
    </row>
    <row r="493" spans="1:6" x14ac:dyDescent="0.15">
      <c r="A493" s="7">
        <v>59</v>
      </c>
      <c r="B493" s="7" t="s">
        <v>533</v>
      </c>
      <c r="C493" s="7" t="s">
        <v>150</v>
      </c>
      <c r="D493" s="7">
        <v>2019</v>
      </c>
      <c r="E493" s="7">
        <v>8</v>
      </c>
      <c r="F493" s="7">
        <v>174.05</v>
      </c>
    </row>
    <row r="494" spans="1:6" x14ac:dyDescent="0.15">
      <c r="A494" s="7">
        <v>59</v>
      </c>
      <c r="B494" s="7" t="s">
        <v>533</v>
      </c>
      <c r="C494" s="7" t="s">
        <v>150</v>
      </c>
      <c r="D494" s="7">
        <v>2019</v>
      </c>
      <c r="E494" s="7">
        <v>9</v>
      </c>
      <c r="F494" s="7">
        <v>174.05</v>
      </c>
    </row>
    <row r="495" spans="1:6" x14ac:dyDescent="0.15">
      <c r="A495" s="7">
        <v>59</v>
      </c>
      <c r="B495" s="7" t="s">
        <v>533</v>
      </c>
      <c r="C495" s="7" t="s">
        <v>150</v>
      </c>
      <c r="D495" s="7">
        <v>2019</v>
      </c>
      <c r="E495" s="7">
        <v>10</v>
      </c>
      <c r="F495" s="7">
        <v>174.05</v>
      </c>
    </row>
    <row r="496" spans="1:6" x14ac:dyDescent="0.15">
      <c r="A496" s="7">
        <v>59</v>
      </c>
      <c r="B496" s="7" t="s">
        <v>533</v>
      </c>
      <c r="C496" s="7" t="s">
        <v>150</v>
      </c>
      <c r="D496" s="7">
        <v>2019</v>
      </c>
      <c r="E496" s="7">
        <v>11</v>
      </c>
      <c r="F496" s="7">
        <v>174.05</v>
      </c>
    </row>
    <row r="497" spans="1:6" x14ac:dyDescent="0.15">
      <c r="A497" s="7">
        <v>59</v>
      </c>
      <c r="B497" s="7" t="s">
        <v>533</v>
      </c>
      <c r="C497" s="7" t="s">
        <v>150</v>
      </c>
      <c r="D497" s="7">
        <v>2019</v>
      </c>
      <c r="E497" s="7">
        <v>12</v>
      </c>
      <c r="F497" s="7">
        <v>174.05</v>
      </c>
    </row>
    <row r="498" spans="1:6" x14ac:dyDescent="0.15">
      <c r="A498" s="7">
        <v>59</v>
      </c>
      <c r="B498" s="7" t="s">
        <v>533</v>
      </c>
      <c r="C498" s="7" t="s">
        <v>150</v>
      </c>
      <c r="D498" s="7">
        <v>2020</v>
      </c>
      <c r="E498" s="7">
        <v>1</v>
      </c>
      <c r="F498" s="7">
        <v>174.05</v>
      </c>
    </row>
    <row r="499" spans="1:6" x14ac:dyDescent="0.15">
      <c r="A499" s="7">
        <v>59</v>
      </c>
      <c r="B499" s="7" t="s">
        <v>533</v>
      </c>
      <c r="C499" s="7" t="s">
        <v>150</v>
      </c>
      <c r="D499" s="7">
        <v>2020</v>
      </c>
      <c r="E499" s="7">
        <v>2</v>
      </c>
      <c r="F499" s="7">
        <v>174.05</v>
      </c>
    </row>
    <row r="500" spans="1:6" x14ac:dyDescent="0.15">
      <c r="A500" s="7">
        <v>59</v>
      </c>
      <c r="B500" s="7" t="s">
        <v>533</v>
      </c>
      <c r="C500" s="7" t="s">
        <v>150</v>
      </c>
      <c r="D500" s="7">
        <v>2020</v>
      </c>
      <c r="E500" s="7">
        <v>3</v>
      </c>
      <c r="F500" s="7">
        <v>174.05</v>
      </c>
    </row>
    <row r="501" spans="1:6" x14ac:dyDescent="0.15">
      <c r="A501" s="7">
        <v>59</v>
      </c>
      <c r="B501" s="7" t="s">
        <v>533</v>
      </c>
      <c r="C501" s="7" t="s">
        <v>150</v>
      </c>
      <c r="D501" s="7">
        <v>2020</v>
      </c>
      <c r="E501" s="7">
        <v>4</v>
      </c>
      <c r="F501" s="7">
        <v>174.05</v>
      </c>
    </row>
    <row r="502" spans="1:6" x14ac:dyDescent="0.15">
      <c r="A502" s="7">
        <v>59</v>
      </c>
      <c r="B502" s="7" t="s">
        <v>533</v>
      </c>
      <c r="C502" s="7" t="s">
        <v>150</v>
      </c>
      <c r="D502" s="7">
        <v>2020</v>
      </c>
      <c r="E502" s="7">
        <v>5</v>
      </c>
      <c r="F502" s="7">
        <v>174.05</v>
      </c>
    </row>
    <row r="503" spans="1:6" x14ac:dyDescent="0.15">
      <c r="A503" s="7">
        <v>59</v>
      </c>
      <c r="B503" s="7" t="s">
        <v>533</v>
      </c>
      <c r="C503" s="7" t="s">
        <v>150</v>
      </c>
      <c r="D503" s="7">
        <v>2020</v>
      </c>
      <c r="E503" s="7">
        <v>6</v>
      </c>
      <c r="F503" s="7">
        <v>169.95</v>
      </c>
    </row>
    <row r="504" spans="1:6" x14ac:dyDescent="0.15">
      <c r="A504" s="7">
        <v>59</v>
      </c>
      <c r="B504" s="7" t="s">
        <v>533</v>
      </c>
      <c r="C504" s="7" t="s">
        <v>150</v>
      </c>
      <c r="D504" s="7">
        <v>2020</v>
      </c>
      <c r="E504" s="7">
        <v>7</v>
      </c>
      <c r="F504" s="7">
        <v>169.95</v>
      </c>
    </row>
    <row r="505" spans="1:6" x14ac:dyDescent="0.15">
      <c r="A505" s="7">
        <v>59</v>
      </c>
      <c r="B505" s="7" t="s">
        <v>533</v>
      </c>
      <c r="C505" s="7" t="s">
        <v>150</v>
      </c>
      <c r="D505" s="7">
        <v>2020</v>
      </c>
      <c r="E505" s="7">
        <v>8</v>
      </c>
      <c r="F505" s="7">
        <v>166.05</v>
      </c>
    </row>
    <row r="506" spans="1:6" x14ac:dyDescent="0.15">
      <c r="A506" s="7">
        <v>59</v>
      </c>
      <c r="B506" s="7" t="s">
        <v>533</v>
      </c>
      <c r="C506" s="7" t="s">
        <v>150</v>
      </c>
      <c r="D506" s="7">
        <v>2020</v>
      </c>
      <c r="E506" s="7">
        <v>9</v>
      </c>
      <c r="F506" s="7">
        <v>166.05</v>
      </c>
    </row>
    <row r="507" spans="1:6" x14ac:dyDescent="0.15">
      <c r="A507" s="7">
        <v>59</v>
      </c>
      <c r="B507" s="7" t="s">
        <v>533</v>
      </c>
      <c r="C507" s="7" t="s">
        <v>150</v>
      </c>
      <c r="D507" s="7">
        <v>2020</v>
      </c>
      <c r="E507" s="7">
        <v>10</v>
      </c>
      <c r="F507" s="7">
        <v>166.05</v>
      </c>
    </row>
    <row r="508" spans="1:6" x14ac:dyDescent="0.15">
      <c r="A508" s="7">
        <v>59</v>
      </c>
      <c r="B508" s="7" t="s">
        <v>533</v>
      </c>
      <c r="C508" s="7" t="s">
        <v>150</v>
      </c>
      <c r="D508" s="7">
        <v>2020</v>
      </c>
      <c r="E508" s="7">
        <v>11</v>
      </c>
      <c r="F508" s="7">
        <v>166.05</v>
      </c>
    </row>
    <row r="509" spans="1:6" x14ac:dyDescent="0.15">
      <c r="A509" s="7">
        <v>59</v>
      </c>
      <c r="B509" s="7" t="s">
        <v>533</v>
      </c>
      <c r="C509" s="7" t="s">
        <v>150</v>
      </c>
      <c r="D509" s="7">
        <v>2020</v>
      </c>
      <c r="E509" s="7">
        <v>12</v>
      </c>
      <c r="F509" s="7">
        <v>166.05</v>
      </c>
    </row>
    <row r="510" spans="1:6" x14ac:dyDescent="0.15">
      <c r="A510" s="7">
        <v>59</v>
      </c>
      <c r="B510" s="7" t="s">
        <v>533</v>
      </c>
      <c r="C510" s="7" t="s">
        <v>150</v>
      </c>
      <c r="D510" s="7">
        <v>2021</v>
      </c>
      <c r="E510" s="7">
        <v>1</v>
      </c>
      <c r="F510" s="7">
        <v>166.05</v>
      </c>
    </row>
    <row r="511" spans="1:6" x14ac:dyDescent="0.15">
      <c r="A511" s="7">
        <v>59</v>
      </c>
      <c r="B511" s="7" t="s">
        <v>533</v>
      </c>
      <c r="C511" s="7" t="s">
        <v>150</v>
      </c>
      <c r="D511" s="7">
        <v>2021</v>
      </c>
      <c r="E511" s="7">
        <v>2</v>
      </c>
      <c r="F511" s="7">
        <v>166.05</v>
      </c>
    </row>
    <row r="512" spans="1:6" x14ac:dyDescent="0.15">
      <c r="A512" s="7">
        <v>59</v>
      </c>
      <c r="B512" s="7" t="s">
        <v>533</v>
      </c>
      <c r="C512" s="7" t="s">
        <v>150</v>
      </c>
      <c r="D512" s="7">
        <v>2021</v>
      </c>
      <c r="E512" s="7">
        <v>3</v>
      </c>
      <c r="F512" s="7">
        <v>166.05</v>
      </c>
    </row>
    <row r="513" spans="1:6" x14ac:dyDescent="0.15">
      <c r="A513" s="7">
        <v>59</v>
      </c>
      <c r="B513" s="7" t="s">
        <v>533</v>
      </c>
      <c r="C513" s="7" t="s">
        <v>150</v>
      </c>
      <c r="D513" s="7">
        <v>2021</v>
      </c>
      <c r="E513" s="7">
        <v>4</v>
      </c>
      <c r="F513" s="7">
        <v>166.05</v>
      </c>
    </row>
    <row r="514" spans="1:6" x14ac:dyDescent="0.15">
      <c r="A514" s="7">
        <v>59</v>
      </c>
      <c r="B514" s="7" t="s">
        <v>533</v>
      </c>
      <c r="C514" s="7" t="s">
        <v>150</v>
      </c>
      <c r="D514" s="7">
        <v>2021</v>
      </c>
      <c r="E514" s="7">
        <v>5</v>
      </c>
      <c r="F514" s="7">
        <v>166.05</v>
      </c>
    </row>
    <row r="515" spans="1:6" x14ac:dyDescent="0.15">
      <c r="A515" s="7">
        <v>59</v>
      </c>
      <c r="B515" s="7" t="s">
        <v>533</v>
      </c>
      <c r="C515" s="7" t="s">
        <v>150</v>
      </c>
      <c r="D515" s="7">
        <v>2021</v>
      </c>
      <c r="E515" s="7">
        <v>6</v>
      </c>
      <c r="F515" s="7">
        <v>166.05</v>
      </c>
    </row>
    <row r="516" spans="1:6" x14ac:dyDescent="0.15">
      <c r="A516" s="7">
        <v>59</v>
      </c>
      <c r="B516" s="7" t="s">
        <v>533</v>
      </c>
      <c r="C516" s="7" t="s">
        <v>150</v>
      </c>
      <c r="D516" s="7">
        <v>2021</v>
      </c>
      <c r="E516" s="7">
        <v>7</v>
      </c>
      <c r="F516" s="7">
        <v>166.05</v>
      </c>
    </row>
    <row r="517" spans="1:6" x14ac:dyDescent="0.15">
      <c r="A517" s="7">
        <v>59</v>
      </c>
      <c r="B517" s="7" t="s">
        <v>533</v>
      </c>
      <c r="C517" s="7" t="s">
        <v>150</v>
      </c>
      <c r="D517" s="7">
        <v>2021</v>
      </c>
      <c r="E517" s="7">
        <v>8</v>
      </c>
      <c r="F517" s="7">
        <v>166.05</v>
      </c>
    </row>
    <row r="518" spans="1:6" x14ac:dyDescent="0.15">
      <c r="A518" s="7">
        <v>59</v>
      </c>
      <c r="B518" s="7" t="s">
        <v>533</v>
      </c>
      <c r="C518" s="7" t="s">
        <v>150</v>
      </c>
      <c r="D518" s="7">
        <v>2021</v>
      </c>
      <c r="E518" s="7">
        <v>9</v>
      </c>
      <c r="F518" s="7">
        <v>167.8</v>
      </c>
    </row>
    <row r="519" spans="1:6" x14ac:dyDescent="0.15">
      <c r="A519" s="7">
        <v>59</v>
      </c>
      <c r="B519" s="7" t="s">
        <v>533</v>
      </c>
      <c r="C519" s="7" t="s">
        <v>150</v>
      </c>
      <c r="D519" s="7">
        <v>2021</v>
      </c>
      <c r="E519" s="7">
        <v>10</v>
      </c>
      <c r="F519" s="7">
        <v>183.41</v>
      </c>
    </row>
    <row r="520" spans="1:6" x14ac:dyDescent="0.15">
      <c r="A520" s="7">
        <v>59</v>
      </c>
      <c r="B520" s="7" t="s">
        <v>533</v>
      </c>
      <c r="C520" s="7" t="s">
        <v>150</v>
      </c>
      <c r="D520" s="7">
        <v>2021</v>
      </c>
      <c r="E520" s="7">
        <v>11</v>
      </c>
      <c r="F520" s="7">
        <v>183.41</v>
      </c>
    </row>
    <row r="521" spans="1:6" x14ac:dyDescent="0.15">
      <c r="A521" s="7">
        <v>59</v>
      </c>
      <c r="B521" s="7" t="s">
        <v>533</v>
      </c>
      <c r="C521" s="7" t="s">
        <v>150</v>
      </c>
      <c r="D521" s="7">
        <v>2021</v>
      </c>
      <c r="E521" s="7">
        <v>12</v>
      </c>
      <c r="F521" s="7">
        <v>206.83</v>
      </c>
    </row>
    <row r="522" spans="1:6" x14ac:dyDescent="0.15">
      <c r="A522" s="7">
        <v>59</v>
      </c>
      <c r="B522" s="7" t="s">
        <v>533</v>
      </c>
      <c r="C522" s="7" t="s">
        <v>150</v>
      </c>
      <c r="D522" s="7">
        <v>2022</v>
      </c>
      <c r="E522" s="7">
        <v>1</v>
      </c>
      <c r="F522" s="7">
        <v>206.83</v>
      </c>
    </row>
    <row r="523" spans="1:6" x14ac:dyDescent="0.15">
      <c r="A523" s="7">
        <v>59</v>
      </c>
      <c r="B523" s="7" t="s">
        <v>533</v>
      </c>
      <c r="C523" s="7" t="s">
        <v>150</v>
      </c>
      <c r="D523" s="7">
        <v>2022</v>
      </c>
      <c r="E523" s="7">
        <v>2</v>
      </c>
      <c r="F523" s="7">
        <v>218.54</v>
      </c>
    </row>
    <row r="524" spans="1:6" x14ac:dyDescent="0.15">
      <c r="A524" s="7">
        <v>59</v>
      </c>
      <c r="B524" s="7" t="s">
        <v>533</v>
      </c>
      <c r="C524" s="7" t="s">
        <v>150</v>
      </c>
      <c r="D524" s="7">
        <v>2022</v>
      </c>
      <c r="E524" s="7">
        <v>3</v>
      </c>
      <c r="F524" s="7">
        <v>218.54</v>
      </c>
    </row>
    <row r="525" spans="1:6" x14ac:dyDescent="0.15">
      <c r="A525" s="7">
        <v>59</v>
      </c>
      <c r="B525" s="7" t="s">
        <v>533</v>
      </c>
      <c r="C525" s="7" t="s">
        <v>150</v>
      </c>
      <c r="D525" s="7">
        <v>2022</v>
      </c>
      <c r="E525" s="7">
        <v>4</v>
      </c>
      <c r="F525" s="7">
        <v>238.05</v>
      </c>
    </row>
    <row r="526" spans="1:6" x14ac:dyDescent="0.15">
      <c r="A526" s="7">
        <v>59</v>
      </c>
      <c r="B526" s="7" t="s">
        <v>533</v>
      </c>
      <c r="C526" s="7" t="s">
        <v>150</v>
      </c>
      <c r="D526" s="7">
        <v>2022</v>
      </c>
      <c r="E526" s="7">
        <v>5</v>
      </c>
      <c r="F526" s="7">
        <v>238.05</v>
      </c>
    </row>
    <row r="527" spans="1:6" x14ac:dyDescent="0.15">
      <c r="A527" s="7">
        <v>59</v>
      </c>
      <c r="B527" s="7" t="s">
        <v>533</v>
      </c>
      <c r="C527" s="7" t="s">
        <v>150</v>
      </c>
      <c r="D527" s="7">
        <v>2022</v>
      </c>
      <c r="E527" s="7">
        <v>6</v>
      </c>
      <c r="F527" s="7">
        <v>267.32</v>
      </c>
    </row>
    <row r="528" spans="1:6" x14ac:dyDescent="0.15">
      <c r="A528" s="7">
        <v>59</v>
      </c>
      <c r="B528" s="7" t="s">
        <v>533</v>
      </c>
      <c r="C528" s="7" t="s">
        <v>150</v>
      </c>
      <c r="D528" s="7">
        <v>2022</v>
      </c>
      <c r="E528" s="7">
        <v>7</v>
      </c>
      <c r="F528" s="7">
        <v>267.32</v>
      </c>
    </row>
    <row r="529" spans="1:6" x14ac:dyDescent="0.15">
      <c r="A529" s="7">
        <v>59</v>
      </c>
      <c r="B529" s="7" t="s">
        <v>533</v>
      </c>
      <c r="C529" s="7" t="s">
        <v>150</v>
      </c>
      <c r="D529" s="7">
        <v>2022</v>
      </c>
      <c r="E529" s="7">
        <v>8</v>
      </c>
      <c r="F529" s="7">
        <v>271.22000000000003</v>
      </c>
    </row>
    <row r="530" spans="1:6" x14ac:dyDescent="0.15">
      <c r="A530" s="7">
        <v>59</v>
      </c>
      <c r="B530" s="7" t="s">
        <v>533</v>
      </c>
      <c r="C530" s="7" t="s">
        <v>150</v>
      </c>
      <c r="D530" s="7">
        <v>2022</v>
      </c>
      <c r="E530" s="7">
        <v>9</v>
      </c>
      <c r="F530" s="7">
        <v>271.22000000000003</v>
      </c>
    </row>
    <row r="531" spans="1:6" x14ac:dyDescent="0.15">
      <c r="A531" s="7">
        <v>59</v>
      </c>
      <c r="B531" s="7" t="s">
        <v>533</v>
      </c>
      <c r="C531" s="7" t="s">
        <v>150</v>
      </c>
      <c r="D531" s="7">
        <v>2022</v>
      </c>
      <c r="E531" s="7">
        <v>10</v>
      </c>
      <c r="F531" s="7">
        <v>271.22000000000003</v>
      </c>
    </row>
    <row r="532" spans="1:6" x14ac:dyDescent="0.15">
      <c r="A532" s="7">
        <v>59</v>
      </c>
      <c r="B532" s="7" t="s">
        <v>533</v>
      </c>
      <c r="C532" s="7" t="s">
        <v>150</v>
      </c>
      <c r="D532" s="7">
        <v>2022</v>
      </c>
      <c r="E532" s="7">
        <v>11</v>
      </c>
      <c r="F532" s="7">
        <v>263.41000000000003</v>
      </c>
    </row>
  </sheetData>
  <printOptions gridLines="1"/>
  <pageMargins left="1.1811023622047245" right="0.78740157480314965" top="1.5748031496062993" bottom="0.78740157480314965" header="0.51181102362204722" footer="0.51181102362204722"/>
  <pageSetup paperSize="9" orientation="portrait" r:id="rId1"/>
  <headerFooter alignWithMargins="0">
    <oddHeader>&amp;L&amp;G</oddHeader>
    <oddFooter>&amp;L&amp;8&amp;D / &amp;F /&amp;R&amp;8&amp;P/&amp;N</oddFoot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6"/>
  <sheetViews>
    <sheetView zoomScaleNormal="100" workbookViewId="0">
      <selection activeCell="D70" sqref="D70"/>
    </sheetView>
  </sheetViews>
  <sheetFormatPr baseColWidth="10" defaultColWidth="11.42578125" defaultRowHeight="11.25" x14ac:dyDescent="0.15"/>
  <cols>
    <col min="1" max="2" width="11.42578125" style="7"/>
    <col min="3" max="3" width="27.42578125" style="7" customWidth="1"/>
    <col min="4" max="16384" width="11.42578125" style="7"/>
  </cols>
  <sheetData>
    <row r="1" spans="1:17" s="247" customFormat="1" x14ac:dyDescent="0.15">
      <c r="A1" s="247">
        <v>7</v>
      </c>
      <c r="B1" s="247">
        <v>2023</v>
      </c>
      <c r="C1" s="166" t="s">
        <v>157</v>
      </c>
      <c r="F1" s="166" t="s">
        <v>763</v>
      </c>
      <c r="H1" s="166" t="s">
        <v>12</v>
      </c>
      <c r="Q1" s="166" t="s">
        <v>156</v>
      </c>
    </row>
    <row r="2" spans="1:17" x14ac:dyDescent="0.15">
      <c r="A2" s="7" t="s">
        <v>673</v>
      </c>
      <c r="B2" s="7" t="s">
        <v>674</v>
      </c>
      <c r="C2" s="7" t="s">
        <v>675</v>
      </c>
      <c r="D2" s="7" t="s">
        <v>676</v>
      </c>
      <c r="O2" s="7" t="s">
        <v>677</v>
      </c>
    </row>
    <row r="3" spans="1:17" x14ac:dyDescent="0.15">
      <c r="A3" s="7" t="s">
        <v>678</v>
      </c>
      <c r="B3" s="7" t="s">
        <v>679</v>
      </c>
      <c r="D3" s="7" t="s">
        <v>520</v>
      </c>
      <c r="E3" s="7" t="s">
        <v>520</v>
      </c>
      <c r="F3" s="7" t="s">
        <v>520</v>
      </c>
      <c r="G3" s="7" t="s">
        <v>520</v>
      </c>
      <c r="H3" s="7" t="s">
        <v>520</v>
      </c>
      <c r="I3" s="7" t="s">
        <v>520</v>
      </c>
      <c r="J3" s="7" t="s">
        <v>520</v>
      </c>
      <c r="K3" s="7" t="s">
        <v>520</v>
      </c>
      <c r="L3" s="7" t="s">
        <v>520</v>
      </c>
      <c r="M3" s="7" t="s">
        <v>520</v>
      </c>
      <c r="N3" s="7" t="s">
        <v>520</v>
      </c>
      <c r="O3" s="7" t="s">
        <v>520</v>
      </c>
      <c r="P3" s="7" t="s">
        <v>520</v>
      </c>
      <c r="Q3" s="7" t="s">
        <v>520</v>
      </c>
    </row>
    <row r="4" spans="1:17" x14ac:dyDescent="0.15">
      <c r="A4" s="7" t="s">
        <v>680</v>
      </c>
    </row>
    <row r="5" spans="1:17" x14ac:dyDescent="0.15">
      <c r="A5" s="7">
        <v>200018</v>
      </c>
      <c r="B5" s="7">
        <v>200186</v>
      </c>
      <c r="C5" s="166" t="s">
        <v>681</v>
      </c>
      <c r="D5" s="7" t="s">
        <v>589</v>
      </c>
      <c r="E5" s="7" t="s">
        <v>588</v>
      </c>
      <c r="F5" s="7">
        <v>27</v>
      </c>
      <c r="I5" s="7">
        <v>5</v>
      </c>
      <c r="J5" s="7">
        <v>2.5</v>
      </c>
      <c r="L5" s="7">
        <v>-14</v>
      </c>
      <c r="O5" s="7">
        <v>41.2</v>
      </c>
      <c r="P5" s="7">
        <v>51.2</v>
      </c>
      <c r="Q5" s="247">
        <v>38.200000000000003</v>
      </c>
    </row>
    <row r="6" spans="1:17" x14ac:dyDescent="0.15">
      <c r="A6" s="7">
        <v>201979</v>
      </c>
      <c r="D6" s="7" t="s">
        <v>587</v>
      </c>
      <c r="O6" s="250">
        <v>86.1</v>
      </c>
      <c r="P6" s="250">
        <v>136.1</v>
      </c>
      <c r="Q6" s="250">
        <v>82</v>
      </c>
    </row>
    <row r="7" spans="1:17" x14ac:dyDescent="0.15">
      <c r="A7" s="7">
        <v>201067</v>
      </c>
      <c r="B7" s="7">
        <v>201068</v>
      </c>
      <c r="C7" s="7" t="s">
        <v>682</v>
      </c>
      <c r="D7" s="7" t="s">
        <v>589</v>
      </c>
      <c r="E7" s="7" t="s">
        <v>588</v>
      </c>
      <c r="F7" s="7">
        <v>27</v>
      </c>
      <c r="I7" s="7">
        <v>9</v>
      </c>
      <c r="L7" s="7">
        <v>-14</v>
      </c>
      <c r="O7" s="250">
        <v>81</v>
      </c>
      <c r="P7" s="250">
        <v>91</v>
      </c>
      <c r="Q7" s="250">
        <v>77</v>
      </c>
    </row>
    <row r="8" spans="1:17" x14ac:dyDescent="0.15">
      <c r="A8" s="7">
        <v>202099</v>
      </c>
      <c r="B8" s="7">
        <v>202100</v>
      </c>
      <c r="C8" s="7" t="s">
        <v>683</v>
      </c>
      <c r="D8" s="8" t="s">
        <v>589</v>
      </c>
      <c r="E8" s="8" t="s">
        <v>588</v>
      </c>
      <c r="F8" s="8">
        <v>24</v>
      </c>
      <c r="G8" s="8"/>
      <c r="J8" s="7">
        <v>5</v>
      </c>
      <c r="K8" s="7">
        <v>6</v>
      </c>
      <c r="L8" s="7">
        <v>-23</v>
      </c>
      <c r="O8" s="250">
        <v>90.7</v>
      </c>
      <c r="P8" s="250">
        <v>100.7</v>
      </c>
      <c r="Q8" s="250">
        <v>86.5</v>
      </c>
    </row>
    <row r="9" spans="1:17" x14ac:dyDescent="0.15">
      <c r="A9" s="7">
        <v>200395</v>
      </c>
      <c r="B9" s="7">
        <v>200396</v>
      </c>
      <c r="C9" s="7" t="s">
        <v>762</v>
      </c>
      <c r="D9" s="7" t="s">
        <v>589</v>
      </c>
      <c r="E9" s="7" t="s">
        <v>588</v>
      </c>
      <c r="F9" s="7">
        <v>26</v>
      </c>
      <c r="K9" s="7">
        <v>14</v>
      </c>
      <c r="L9" s="7">
        <v>-50</v>
      </c>
      <c r="M9" s="7" t="s">
        <v>684</v>
      </c>
      <c r="O9" s="250">
        <v>93.8</v>
      </c>
      <c r="P9" s="250">
        <v>103.8</v>
      </c>
      <c r="Q9" s="250">
        <v>89.5</v>
      </c>
    </row>
    <row r="10" spans="1:17" x14ac:dyDescent="0.15">
      <c r="A10" s="7">
        <v>202101</v>
      </c>
      <c r="B10" s="8">
        <v>202102</v>
      </c>
      <c r="C10" s="7" t="s">
        <v>685</v>
      </c>
      <c r="D10" s="7" t="s">
        <v>589</v>
      </c>
      <c r="E10" s="7" t="s">
        <v>588</v>
      </c>
      <c r="F10" s="7">
        <v>20</v>
      </c>
      <c r="I10" s="7">
        <v>13</v>
      </c>
      <c r="J10" s="7">
        <v>4.5</v>
      </c>
      <c r="L10" s="7">
        <v>9</v>
      </c>
      <c r="O10" s="250">
        <v>82</v>
      </c>
      <c r="P10" s="250">
        <v>92</v>
      </c>
      <c r="Q10" s="250">
        <v>78</v>
      </c>
    </row>
    <row r="11" spans="1:17" x14ac:dyDescent="0.15">
      <c r="A11" s="7">
        <v>201652</v>
      </c>
      <c r="B11" s="8">
        <v>201653</v>
      </c>
      <c r="C11" s="7" t="s">
        <v>686</v>
      </c>
      <c r="D11" s="7" t="s">
        <v>589</v>
      </c>
      <c r="E11" s="7" t="s">
        <v>687</v>
      </c>
      <c r="F11" s="7">
        <v>30</v>
      </c>
      <c r="J11" s="7">
        <v>3</v>
      </c>
      <c r="K11" s="7">
        <v>10</v>
      </c>
      <c r="L11" s="7">
        <v>-41</v>
      </c>
      <c r="O11" s="250">
        <v>94.8</v>
      </c>
      <c r="P11" s="250">
        <v>104.8</v>
      </c>
      <c r="Q11" s="250">
        <v>90.5</v>
      </c>
    </row>
    <row r="12" spans="1:17" x14ac:dyDescent="0.15">
      <c r="A12" s="7">
        <v>200020</v>
      </c>
      <c r="B12" s="8">
        <v>204191</v>
      </c>
      <c r="C12" s="7" t="s">
        <v>761</v>
      </c>
      <c r="D12" s="7" t="s">
        <v>589</v>
      </c>
      <c r="E12" s="7" t="s">
        <v>588</v>
      </c>
      <c r="F12" s="7">
        <v>21</v>
      </c>
      <c r="K12" s="7">
        <v>24</v>
      </c>
      <c r="L12" s="7">
        <v>-63</v>
      </c>
      <c r="O12" s="250">
        <v>81</v>
      </c>
      <c r="P12" s="250">
        <v>91</v>
      </c>
      <c r="Q12" s="250">
        <v>77</v>
      </c>
    </row>
    <row r="13" spans="1:17" x14ac:dyDescent="0.15">
      <c r="A13" s="7">
        <v>200021</v>
      </c>
      <c r="B13" s="8">
        <v>200187</v>
      </c>
      <c r="C13" s="7" t="s">
        <v>760</v>
      </c>
      <c r="D13" s="7" t="s">
        <v>589</v>
      </c>
      <c r="E13" s="7" t="s">
        <v>687</v>
      </c>
      <c r="F13" s="7">
        <v>46</v>
      </c>
      <c r="L13" s="7">
        <v>-46</v>
      </c>
      <c r="O13" s="250">
        <v>88.7</v>
      </c>
      <c r="P13" s="250">
        <v>98.7</v>
      </c>
      <c r="Q13" s="250">
        <v>84.5</v>
      </c>
    </row>
    <row r="14" spans="1:17" x14ac:dyDescent="0.15">
      <c r="A14" s="7">
        <v>310043</v>
      </c>
      <c r="B14" s="246"/>
      <c r="C14" s="7" t="s">
        <v>759</v>
      </c>
      <c r="D14" s="7" t="s">
        <v>587</v>
      </c>
      <c r="F14" s="7">
        <v>46</v>
      </c>
      <c r="L14" s="7">
        <v>-46</v>
      </c>
      <c r="O14" s="250">
        <v>125.6</v>
      </c>
      <c r="P14" s="250">
        <v>135.6</v>
      </c>
      <c r="Q14" s="250">
        <v>120.5</v>
      </c>
    </row>
    <row r="15" spans="1:17" x14ac:dyDescent="0.15">
      <c r="A15" s="7">
        <v>202602</v>
      </c>
      <c r="B15" s="8">
        <v>203724</v>
      </c>
      <c r="C15" s="7" t="s">
        <v>688</v>
      </c>
      <c r="D15" s="7" t="s">
        <v>689</v>
      </c>
      <c r="E15" s="7" t="s">
        <v>690</v>
      </c>
      <c r="F15" s="7">
        <v>19.8</v>
      </c>
      <c r="I15" s="7">
        <v>40</v>
      </c>
      <c r="L15" s="7">
        <v>36</v>
      </c>
      <c r="O15" s="250">
        <v>149.1</v>
      </c>
      <c r="P15" s="250">
        <v>159.1</v>
      </c>
      <c r="Q15" s="250">
        <v>143.5</v>
      </c>
    </row>
    <row r="16" spans="1:17" x14ac:dyDescent="0.15">
      <c r="A16" s="7">
        <v>200023</v>
      </c>
      <c r="B16" s="8"/>
      <c r="C16" s="7" t="s">
        <v>758</v>
      </c>
      <c r="D16" s="7" t="s">
        <v>691</v>
      </c>
      <c r="F16" s="7">
        <v>15.5</v>
      </c>
      <c r="I16" s="7">
        <v>19</v>
      </c>
      <c r="L16" s="7">
        <v>11</v>
      </c>
      <c r="O16" s="250">
        <v>103.5</v>
      </c>
      <c r="P16" s="250">
        <v>113.5</v>
      </c>
      <c r="Q16" s="250">
        <v>99</v>
      </c>
    </row>
    <row r="17" spans="1:17" x14ac:dyDescent="0.15">
      <c r="A17" s="7">
        <v>200439</v>
      </c>
      <c r="B17" s="8"/>
      <c r="C17" s="7" t="s">
        <v>757</v>
      </c>
      <c r="D17" s="7" t="s">
        <v>691</v>
      </c>
      <c r="F17" s="7">
        <v>15.5</v>
      </c>
      <c r="I17" s="7">
        <v>19</v>
      </c>
      <c r="L17" s="7">
        <v>11</v>
      </c>
      <c r="O17" s="250">
        <v>113.7</v>
      </c>
      <c r="P17" s="250">
        <v>123.7</v>
      </c>
      <c r="Q17" s="250">
        <v>108.9</v>
      </c>
    </row>
    <row r="18" spans="1:17" x14ac:dyDescent="0.15">
      <c r="A18" s="7">
        <v>202028</v>
      </c>
      <c r="B18" s="8"/>
      <c r="C18" s="7" t="s">
        <v>756</v>
      </c>
      <c r="D18" s="7" t="s">
        <v>691</v>
      </c>
      <c r="F18" s="7">
        <v>15.5</v>
      </c>
      <c r="I18" s="7">
        <v>19</v>
      </c>
      <c r="L18" s="7">
        <v>11</v>
      </c>
      <c r="M18" s="7" t="s">
        <v>684</v>
      </c>
      <c r="O18" s="250">
        <v>107.3</v>
      </c>
      <c r="P18" s="250">
        <v>117.3</v>
      </c>
      <c r="Q18" s="250">
        <v>102.7</v>
      </c>
    </row>
    <row r="19" spans="1:17" x14ac:dyDescent="0.15">
      <c r="A19" s="7">
        <v>204218</v>
      </c>
      <c r="B19" s="8">
        <v>309118</v>
      </c>
      <c r="C19" s="7" t="s">
        <v>692</v>
      </c>
      <c r="D19" s="7" t="s">
        <v>589</v>
      </c>
      <c r="E19" s="7" t="s">
        <v>588</v>
      </c>
      <c r="F19" s="7">
        <v>26</v>
      </c>
      <c r="K19" s="7">
        <v>13</v>
      </c>
      <c r="L19" s="7">
        <v>-49</v>
      </c>
      <c r="O19" s="250">
        <v>98.9</v>
      </c>
      <c r="P19" s="250">
        <v>108.9</v>
      </c>
      <c r="Q19" s="250">
        <v>94.5</v>
      </c>
    </row>
    <row r="20" spans="1:17" x14ac:dyDescent="0.15">
      <c r="A20" s="7" t="s">
        <v>693</v>
      </c>
      <c r="B20" s="8"/>
    </row>
    <row r="21" spans="1:17" x14ac:dyDescent="0.15">
      <c r="A21" s="7">
        <v>200053</v>
      </c>
      <c r="B21" s="8"/>
      <c r="C21" s="7" t="s">
        <v>755</v>
      </c>
      <c r="F21" s="7" t="s">
        <v>754</v>
      </c>
      <c r="L21" s="7">
        <v>-30</v>
      </c>
      <c r="N21" s="7" t="s">
        <v>694</v>
      </c>
      <c r="O21" s="250" t="s">
        <v>695</v>
      </c>
      <c r="P21" s="250" t="s">
        <v>695</v>
      </c>
      <c r="Q21" s="250" t="s">
        <v>695</v>
      </c>
    </row>
    <row r="22" spans="1:17" x14ac:dyDescent="0.15">
      <c r="A22" s="7">
        <v>205333</v>
      </c>
      <c r="C22" s="7" t="s">
        <v>753</v>
      </c>
      <c r="F22" s="7" t="s">
        <v>752</v>
      </c>
      <c r="K22" s="7">
        <v>6</v>
      </c>
      <c r="L22" s="7">
        <v>-35</v>
      </c>
      <c r="N22" s="7" t="s">
        <v>694</v>
      </c>
      <c r="O22" s="250" t="s">
        <v>695</v>
      </c>
      <c r="P22" s="250" t="s">
        <v>695</v>
      </c>
      <c r="Q22" s="250" t="s">
        <v>695</v>
      </c>
    </row>
    <row r="23" spans="1:17" x14ac:dyDescent="0.15">
      <c r="A23" s="7" t="s">
        <v>696</v>
      </c>
      <c r="O23" s="250"/>
      <c r="P23" s="250"/>
      <c r="Q23" s="250"/>
    </row>
    <row r="24" spans="1:17" x14ac:dyDescent="0.15">
      <c r="A24" s="7">
        <v>203799</v>
      </c>
      <c r="B24" s="7">
        <v>203800</v>
      </c>
      <c r="C24" s="7" t="s">
        <v>751</v>
      </c>
      <c r="D24" s="7" t="s">
        <v>520</v>
      </c>
      <c r="E24" s="178" t="s">
        <v>589</v>
      </c>
      <c r="F24" s="7" t="s">
        <v>588</v>
      </c>
      <c r="H24" s="7">
        <v>9</v>
      </c>
      <c r="J24" s="7">
        <v>24</v>
      </c>
      <c r="K24" s="7">
        <v>7.5</v>
      </c>
      <c r="L24" s="7">
        <v>3</v>
      </c>
      <c r="M24" s="7">
        <v>42</v>
      </c>
      <c r="O24" s="250">
        <v>57.9</v>
      </c>
      <c r="P24" s="250">
        <v>67.900000000000006</v>
      </c>
      <c r="Q24" s="250">
        <v>54.5</v>
      </c>
    </row>
    <row r="25" spans="1:17" x14ac:dyDescent="0.15">
      <c r="A25" s="7">
        <v>200469</v>
      </c>
      <c r="B25" s="7">
        <v>200470</v>
      </c>
      <c r="C25" s="166" t="s">
        <v>715</v>
      </c>
      <c r="D25" s="7" t="s">
        <v>520</v>
      </c>
      <c r="E25" s="7" t="s">
        <v>589</v>
      </c>
      <c r="F25" s="7" t="s">
        <v>588</v>
      </c>
      <c r="H25" s="7">
        <v>18</v>
      </c>
      <c r="J25" s="7">
        <v>26</v>
      </c>
      <c r="K25" s="7">
        <v>4.8</v>
      </c>
      <c r="L25" s="7">
        <v>5.5</v>
      </c>
      <c r="M25" s="7">
        <v>31</v>
      </c>
      <c r="O25" s="7">
        <v>60.5</v>
      </c>
      <c r="P25" s="7">
        <v>70.5</v>
      </c>
      <c r="Q25" s="247">
        <v>57</v>
      </c>
    </row>
    <row r="26" spans="1:17" x14ac:dyDescent="0.15">
      <c r="A26" s="7">
        <v>200375</v>
      </c>
      <c r="B26" s="7">
        <v>200380</v>
      </c>
      <c r="C26" s="7" t="s">
        <v>697</v>
      </c>
      <c r="D26" s="7" t="s">
        <v>589</v>
      </c>
      <c r="E26" s="7" t="s">
        <v>588</v>
      </c>
      <c r="G26" s="7">
        <v>26</v>
      </c>
      <c r="I26" s="7">
        <v>18</v>
      </c>
      <c r="J26" s="7">
        <v>4.4000000000000004</v>
      </c>
      <c r="K26" s="7">
        <v>5</v>
      </c>
      <c r="L26" s="7">
        <v>16</v>
      </c>
      <c r="O26" s="250">
        <v>84</v>
      </c>
      <c r="P26" s="250">
        <v>94</v>
      </c>
      <c r="Q26" s="250">
        <v>80</v>
      </c>
    </row>
    <row r="27" spans="1:17" x14ac:dyDescent="0.15">
      <c r="A27" s="7">
        <v>200038</v>
      </c>
      <c r="B27" s="7">
        <v>200298</v>
      </c>
      <c r="C27" s="7" t="s">
        <v>698</v>
      </c>
      <c r="D27" s="7" t="s">
        <v>589</v>
      </c>
      <c r="E27" s="7" t="s">
        <v>588</v>
      </c>
      <c r="G27" s="7">
        <v>46</v>
      </c>
      <c r="I27" s="7">
        <v>12</v>
      </c>
      <c r="L27" s="7">
        <v>-2</v>
      </c>
      <c r="O27" s="250">
        <v>110.2</v>
      </c>
      <c r="P27" s="250">
        <v>120.2</v>
      </c>
      <c r="Q27" s="250">
        <v>105.5</v>
      </c>
    </row>
    <row r="28" spans="1:17" x14ac:dyDescent="0.15">
      <c r="A28" s="7" t="s">
        <v>699</v>
      </c>
      <c r="O28" s="250"/>
      <c r="P28" s="250"/>
      <c r="Q28" s="250"/>
    </row>
    <row r="29" spans="1:17" x14ac:dyDescent="0.15">
      <c r="A29" s="7">
        <v>200372</v>
      </c>
      <c r="B29" s="7">
        <v>200626</v>
      </c>
      <c r="C29" s="7" t="s">
        <v>700</v>
      </c>
      <c r="D29" s="7" t="s">
        <v>589</v>
      </c>
      <c r="E29" s="7" t="s">
        <v>588</v>
      </c>
      <c r="H29" s="7">
        <v>40</v>
      </c>
      <c r="J29" s="7">
        <v>3.6</v>
      </c>
      <c r="K29" s="7">
        <v>4</v>
      </c>
      <c r="L29" s="7">
        <v>5</v>
      </c>
      <c r="M29" s="7" t="s">
        <v>701</v>
      </c>
      <c r="O29" s="250">
        <v>83.5</v>
      </c>
      <c r="P29" s="250">
        <v>93.5</v>
      </c>
      <c r="Q29" s="250">
        <v>79.5</v>
      </c>
    </row>
    <row r="30" spans="1:17" x14ac:dyDescent="0.15">
      <c r="A30" s="7">
        <v>200365</v>
      </c>
      <c r="B30" s="7">
        <v>200366</v>
      </c>
      <c r="C30" s="166" t="s">
        <v>702</v>
      </c>
      <c r="D30" s="7" t="s">
        <v>589</v>
      </c>
      <c r="E30" s="7" t="s">
        <v>588</v>
      </c>
      <c r="H30" s="7">
        <v>60</v>
      </c>
      <c r="L30" s="7">
        <v>0</v>
      </c>
      <c r="O30" s="7">
        <v>72.3</v>
      </c>
      <c r="P30" s="7">
        <v>82.3</v>
      </c>
      <c r="Q30" s="247">
        <v>68.5</v>
      </c>
    </row>
    <row r="31" spans="1:17" x14ac:dyDescent="0.15">
      <c r="A31" s="7">
        <v>200369</v>
      </c>
      <c r="B31" s="7">
        <v>206253</v>
      </c>
      <c r="C31" s="7" t="s">
        <v>750</v>
      </c>
      <c r="D31" s="7" t="s">
        <v>520</v>
      </c>
      <c r="E31" s="7" t="s">
        <v>589</v>
      </c>
      <c r="F31" s="7" t="s">
        <v>588</v>
      </c>
      <c r="I31" s="7">
        <v>30</v>
      </c>
      <c r="K31" s="7">
        <v>6</v>
      </c>
      <c r="L31" s="7">
        <v>17</v>
      </c>
      <c r="M31" s="7">
        <v>2</v>
      </c>
      <c r="O31" s="250">
        <v>93.8</v>
      </c>
      <c r="P31" s="250">
        <v>103.8</v>
      </c>
      <c r="Q31" s="250">
        <v>89.5</v>
      </c>
    </row>
    <row r="32" spans="1:17" x14ac:dyDescent="0.15">
      <c r="A32" s="7">
        <v>200370</v>
      </c>
      <c r="B32" s="7">
        <v>200923</v>
      </c>
      <c r="C32" s="7" t="s">
        <v>749</v>
      </c>
      <c r="D32" s="7" t="s">
        <v>520</v>
      </c>
      <c r="E32" s="7" t="s">
        <v>589</v>
      </c>
      <c r="F32" s="7" t="s">
        <v>588</v>
      </c>
      <c r="I32" s="7">
        <v>50</v>
      </c>
      <c r="L32" s="7">
        <v>18</v>
      </c>
      <c r="M32" s="7">
        <v>-1</v>
      </c>
      <c r="O32" s="250">
        <v>131.69999999999999</v>
      </c>
      <c r="P32" s="250">
        <v>141.69999999999999</v>
      </c>
      <c r="Q32" s="250">
        <v>126.5</v>
      </c>
    </row>
    <row r="33" spans="1:17" x14ac:dyDescent="0.15">
      <c r="A33" s="7">
        <v>202989</v>
      </c>
      <c r="C33" s="7" t="s">
        <v>748</v>
      </c>
      <c r="D33" s="7" t="s">
        <v>587</v>
      </c>
      <c r="L33" s="7">
        <v>0</v>
      </c>
      <c r="M33" s="7" t="s">
        <v>703</v>
      </c>
      <c r="O33" s="250">
        <v>144.5</v>
      </c>
      <c r="P33" s="250">
        <v>154.5</v>
      </c>
      <c r="Q33" s="250">
        <v>139</v>
      </c>
    </row>
    <row r="34" spans="1:17" x14ac:dyDescent="0.15">
      <c r="A34" s="7">
        <v>200371</v>
      </c>
      <c r="C34" s="7" t="s">
        <v>747</v>
      </c>
      <c r="D34" s="7" t="s">
        <v>520</v>
      </c>
      <c r="E34" s="7" t="s">
        <v>704</v>
      </c>
      <c r="I34" s="7">
        <v>50</v>
      </c>
      <c r="L34" s="7">
        <v>18</v>
      </c>
      <c r="M34" s="7">
        <v>-1</v>
      </c>
      <c r="O34" s="250">
        <v>152.19999999999999</v>
      </c>
      <c r="P34" s="250">
        <v>162.19999999999999</v>
      </c>
      <c r="Q34" s="250">
        <v>146.5</v>
      </c>
    </row>
    <row r="35" spans="1:17" x14ac:dyDescent="0.15">
      <c r="A35" s="7" t="s">
        <v>705</v>
      </c>
      <c r="O35" s="250"/>
      <c r="P35" s="250"/>
      <c r="Q35" s="250"/>
    </row>
    <row r="36" spans="1:17" x14ac:dyDescent="0.15">
      <c r="A36" s="7">
        <v>201437</v>
      </c>
      <c r="C36" s="7" t="s">
        <v>746</v>
      </c>
      <c r="D36" s="7" t="s">
        <v>520</v>
      </c>
      <c r="E36" s="7" t="s">
        <v>587</v>
      </c>
      <c r="K36" s="7">
        <v>9.6999999999999993</v>
      </c>
      <c r="L36" s="7">
        <v>13</v>
      </c>
      <c r="M36" s="7">
        <v>0</v>
      </c>
      <c r="O36" s="250">
        <v>83</v>
      </c>
      <c r="P36" s="250">
        <v>93</v>
      </c>
      <c r="Q36" s="250">
        <v>79</v>
      </c>
    </row>
    <row r="37" spans="1:17" x14ac:dyDescent="0.15">
      <c r="A37" s="7">
        <v>202036</v>
      </c>
      <c r="C37" s="7" t="s">
        <v>745</v>
      </c>
      <c r="D37" s="7" t="s">
        <v>587</v>
      </c>
      <c r="J37" s="7">
        <v>9</v>
      </c>
      <c r="K37" s="7">
        <v>12</v>
      </c>
      <c r="L37" s="7">
        <v>0</v>
      </c>
      <c r="M37" s="7" t="s">
        <v>706</v>
      </c>
      <c r="O37" s="250"/>
      <c r="P37" s="250"/>
      <c r="Q37" s="250"/>
    </row>
    <row r="38" spans="1:17" x14ac:dyDescent="0.15">
      <c r="A38" s="7" t="s">
        <v>707</v>
      </c>
      <c r="C38" s="7">
        <v>104.6</v>
      </c>
      <c r="D38" s="7">
        <v>114.6</v>
      </c>
      <c r="E38" s="7">
        <v>100</v>
      </c>
      <c r="O38" s="250"/>
      <c r="P38" s="250"/>
      <c r="Q38" s="250"/>
    </row>
    <row r="39" spans="1:17" x14ac:dyDescent="0.15">
      <c r="A39" s="7">
        <v>203577</v>
      </c>
      <c r="C39" s="7" t="s">
        <v>744</v>
      </c>
      <c r="D39" s="7" t="s">
        <v>587</v>
      </c>
      <c r="J39" s="7">
        <v>7.8</v>
      </c>
      <c r="K39" s="7">
        <v>13.6</v>
      </c>
      <c r="M39" s="7" t="s">
        <v>708</v>
      </c>
      <c r="O39" s="250">
        <v>116.8</v>
      </c>
      <c r="P39" s="250">
        <v>126.8</v>
      </c>
      <c r="Q39" s="250">
        <v>112</v>
      </c>
    </row>
    <row r="40" spans="1:17" x14ac:dyDescent="0.15">
      <c r="A40" s="7">
        <v>200373</v>
      </c>
      <c r="B40" s="7">
        <v>201458</v>
      </c>
      <c r="C40" s="7" t="s">
        <v>743</v>
      </c>
      <c r="D40" s="7" t="s">
        <v>520</v>
      </c>
      <c r="E40" s="7" t="s">
        <v>589</v>
      </c>
      <c r="F40" s="7" t="s">
        <v>588</v>
      </c>
      <c r="K40" s="7">
        <v>15</v>
      </c>
      <c r="L40" s="7">
        <v>20</v>
      </c>
      <c r="M40" s="7">
        <v>0</v>
      </c>
      <c r="O40" s="250">
        <v>66.099999999999994</v>
      </c>
      <c r="P40" s="250">
        <v>76.099999999999994</v>
      </c>
      <c r="Q40" s="250">
        <v>62.5</v>
      </c>
    </row>
    <row r="41" spans="1:17" x14ac:dyDescent="0.15">
      <c r="A41" s="7">
        <v>200040</v>
      </c>
      <c r="B41" s="7">
        <v>200922</v>
      </c>
      <c r="C41" s="7" t="s">
        <v>709</v>
      </c>
      <c r="D41" s="7" t="s">
        <v>589</v>
      </c>
      <c r="E41" s="7" t="s">
        <v>588</v>
      </c>
      <c r="J41" s="7">
        <v>29</v>
      </c>
      <c r="K41" s="7">
        <v>9</v>
      </c>
      <c r="L41" s="7">
        <v>52</v>
      </c>
      <c r="O41" s="250">
        <v>81.5</v>
      </c>
      <c r="P41" s="250">
        <v>91.5</v>
      </c>
      <c r="Q41" s="250">
        <v>77.5</v>
      </c>
    </row>
    <row r="42" spans="1:17" x14ac:dyDescent="0.15">
      <c r="A42" s="7">
        <v>205367</v>
      </c>
      <c r="B42" s="7">
        <v>206708</v>
      </c>
      <c r="C42" s="7" t="s">
        <v>742</v>
      </c>
      <c r="D42" s="7" t="s">
        <v>520</v>
      </c>
      <c r="E42" s="7" t="s">
        <v>710</v>
      </c>
      <c r="F42" s="7" t="s">
        <v>711</v>
      </c>
      <c r="J42" s="7">
        <v>20</v>
      </c>
      <c r="K42" s="7">
        <v>1.8</v>
      </c>
      <c r="L42" s="7">
        <v>16</v>
      </c>
      <c r="M42" s="7">
        <v>6</v>
      </c>
      <c r="O42" s="250">
        <v>48.5</v>
      </c>
      <c r="P42" s="250">
        <v>58.5</v>
      </c>
      <c r="Q42" s="250">
        <v>45.3</v>
      </c>
    </row>
    <row r="43" spans="1:17" x14ac:dyDescent="0.15">
      <c r="A43" s="7">
        <v>200521</v>
      </c>
      <c r="B43" s="7">
        <v>203038</v>
      </c>
      <c r="C43" s="7" t="s">
        <v>741</v>
      </c>
      <c r="D43" s="7" t="s">
        <v>520</v>
      </c>
      <c r="E43" s="7" t="s">
        <v>589</v>
      </c>
      <c r="F43" s="7" t="s">
        <v>588</v>
      </c>
      <c r="J43" s="7">
        <v>22</v>
      </c>
      <c r="K43" s="7">
        <v>10</v>
      </c>
      <c r="M43" s="7">
        <v>55</v>
      </c>
      <c r="O43" s="250">
        <v>35.9</v>
      </c>
      <c r="P43" s="250">
        <v>45.9</v>
      </c>
      <c r="Q43" s="250">
        <v>33</v>
      </c>
    </row>
    <row r="44" spans="1:17" x14ac:dyDescent="0.15">
      <c r="A44" s="7">
        <v>205108</v>
      </c>
      <c r="C44" s="7" t="s">
        <v>740</v>
      </c>
      <c r="D44" s="7" t="s">
        <v>520</v>
      </c>
      <c r="E44" s="7" t="s">
        <v>587</v>
      </c>
      <c r="L44" s="7">
        <v>90</v>
      </c>
      <c r="M44" s="7">
        <v>-157</v>
      </c>
      <c r="O44" s="250">
        <v>165</v>
      </c>
      <c r="P44" s="250">
        <v>175</v>
      </c>
      <c r="Q44" s="250">
        <v>159</v>
      </c>
    </row>
    <row r="45" spans="1:17" x14ac:dyDescent="0.15">
      <c r="A45" s="7" t="s">
        <v>712</v>
      </c>
      <c r="O45" s="250"/>
      <c r="P45" s="250"/>
      <c r="Q45" s="250"/>
    </row>
    <row r="46" spans="1:17" x14ac:dyDescent="0.15">
      <c r="A46" s="7">
        <v>205298</v>
      </c>
      <c r="C46" s="7" t="s">
        <v>739</v>
      </c>
      <c r="D46" s="7" t="s">
        <v>520</v>
      </c>
      <c r="E46" s="7" t="s">
        <v>691</v>
      </c>
      <c r="M46" s="7">
        <v>0</v>
      </c>
      <c r="N46" s="7" t="s">
        <v>713</v>
      </c>
      <c r="O46" s="250" t="s">
        <v>738</v>
      </c>
      <c r="P46" s="250" t="s">
        <v>737</v>
      </c>
      <c r="Q46" s="250" t="s">
        <v>736</v>
      </c>
    </row>
  </sheetData>
  <printOptions gridLines="1"/>
  <pageMargins left="1.1811023622047245" right="0.78740157480314965" top="1.5748031496062993" bottom="0.78740157480314965" header="0.51181102362204722" footer="0.51181102362204722"/>
  <pageSetup paperSize="9" orientation="portrait" r:id="rId1"/>
  <headerFooter alignWithMargins="0">
    <oddHeader>&amp;L&amp;G</oddHeader>
    <oddFooter>&amp;L&amp;8&amp;D / &amp;F /&amp;R&amp;8&amp;P/&amp;N</oddFooter>
  </headerFooter>
  <legacy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O42"/>
  <sheetViews>
    <sheetView zoomScaleNormal="100" workbookViewId="0">
      <selection activeCell="D70" sqref="D70"/>
    </sheetView>
  </sheetViews>
  <sheetFormatPr baseColWidth="10" defaultColWidth="11.42578125" defaultRowHeight="11.25" x14ac:dyDescent="0.15"/>
  <cols>
    <col min="1" max="1" width="18.28515625" style="7" customWidth="1"/>
    <col min="2" max="16384" width="11.42578125" style="7"/>
  </cols>
  <sheetData>
    <row r="1" spans="1:15" x14ac:dyDescent="0.15">
      <c r="B1" s="7" t="s">
        <v>81</v>
      </c>
    </row>
    <row r="2" spans="1:15" x14ac:dyDescent="0.15">
      <c r="A2" s="2" t="s">
        <v>111</v>
      </c>
      <c r="B2" s="7" t="s">
        <v>19</v>
      </c>
      <c r="D2" s="7" t="s">
        <v>82</v>
      </c>
      <c r="G2" s="7" t="s">
        <v>85</v>
      </c>
    </row>
    <row r="3" spans="1:15" x14ac:dyDescent="0.15">
      <c r="D3" s="7" t="s">
        <v>83</v>
      </c>
      <c r="G3" s="7" t="s">
        <v>86</v>
      </c>
    </row>
    <row r="4" spans="1:15" x14ac:dyDescent="0.15">
      <c r="D4" s="7" t="s">
        <v>84</v>
      </c>
      <c r="F4" s="3" t="s">
        <v>114</v>
      </c>
      <c r="G4" s="2" t="s">
        <v>109</v>
      </c>
      <c r="H4" s="2" t="s">
        <v>110</v>
      </c>
      <c r="I4" s="3" t="s">
        <v>114</v>
      </c>
    </row>
    <row r="5" spans="1:15" x14ac:dyDescent="0.15">
      <c r="D5" s="3" t="s">
        <v>16</v>
      </c>
      <c r="E5" s="2" t="s">
        <v>17</v>
      </c>
    </row>
    <row r="6" spans="1:15" x14ac:dyDescent="0.15">
      <c r="A6" s="2" t="str">
        <f>Texte!A117</f>
        <v>Vollgülle</v>
      </c>
      <c r="B6" s="7" t="s">
        <v>43</v>
      </c>
      <c r="D6" s="7">
        <v>50</v>
      </c>
      <c r="E6" s="7">
        <v>70</v>
      </c>
      <c r="F6" s="7">
        <f>AVERAGE(D6:E6)</f>
        <v>60</v>
      </c>
      <c r="G6" s="7">
        <v>55</v>
      </c>
      <c r="H6" s="7">
        <v>45</v>
      </c>
      <c r="I6" s="7">
        <f>AVERAGE(G6:H6)</f>
        <v>50</v>
      </c>
      <c r="M6" s="2"/>
      <c r="N6" s="2"/>
      <c r="O6" s="2"/>
    </row>
    <row r="7" spans="1:15" x14ac:dyDescent="0.15">
      <c r="A7" s="2" t="str">
        <f>Texte!A118</f>
        <v>Gülle Kotarm</v>
      </c>
      <c r="B7" s="7" t="s">
        <v>87</v>
      </c>
      <c r="D7" s="7">
        <v>65</v>
      </c>
      <c r="E7" s="8">
        <v>85</v>
      </c>
      <c r="F7" s="7">
        <f t="shared" ref="F7:F24" si="0">AVERAGE(D7:E7)</f>
        <v>75</v>
      </c>
      <c r="G7" s="7">
        <v>70</v>
      </c>
      <c r="H7" s="7">
        <v>60</v>
      </c>
      <c r="I7" s="7">
        <f t="shared" ref="I7:I25" si="1">AVERAGE(G7:H7)</f>
        <v>65</v>
      </c>
      <c r="N7" s="2"/>
      <c r="O7" s="2"/>
    </row>
    <row r="8" spans="1:15" x14ac:dyDescent="0.15">
      <c r="M8" s="2"/>
      <c r="N8" s="2"/>
      <c r="O8" s="2"/>
    </row>
    <row r="9" spans="1:15" x14ac:dyDescent="0.15">
      <c r="A9" s="2" t="str">
        <f>Texte!A119</f>
        <v>Stapelmist</v>
      </c>
      <c r="B9" s="7" t="s">
        <v>60</v>
      </c>
      <c r="C9" s="8"/>
      <c r="D9" s="7">
        <v>20</v>
      </c>
      <c r="E9" s="7">
        <v>40</v>
      </c>
      <c r="F9" s="7">
        <f t="shared" si="0"/>
        <v>30</v>
      </c>
      <c r="G9" s="7">
        <v>20</v>
      </c>
      <c r="H9" s="7">
        <v>15</v>
      </c>
      <c r="I9" s="7">
        <f t="shared" si="1"/>
        <v>17.5</v>
      </c>
      <c r="N9" s="2"/>
      <c r="O9" s="2"/>
    </row>
    <row r="10" spans="1:15" x14ac:dyDescent="0.15">
      <c r="A10" s="2" t="str">
        <f>Texte!A120</f>
        <v>Laufstallmist</v>
      </c>
      <c r="B10" s="7" t="s">
        <v>61</v>
      </c>
      <c r="C10" s="8"/>
      <c r="D10" s="7">
        <v>25</v>
      </c>
      <c r="E10" s="3">
        <v>30</v>
      </c>
      <c r="F10" s="7">
        <f t="shared" si="0"/>
        <v>27.5</v>
      </c>
      <c r="G10" s="7">
        <v>25</v>
      </c>
      <c r="H10" s="7">
        <v>20</v>
      </c>
      <c r="I10" s="7">
        <f t="shared" si="1"/>
        <v>22.5</v>
      </c>
      <c r="O10" s="2"/>
    </row>
    <row r="11" spans="1:15" x14ac:dyDescent="0.15">
      <c r="A11" s="2" t="str">
        <f>Texte!A121</f>
        <v>Kälbermist</v>
      </c>
      <c r="B11" s="7" t="s">
        <v>61</v>
      </c>
      <c r="C11" s="8"/>
      <c r="D11" s="7">
        <v>25</v>
      </c>
      <c r="E11" s="3">
        <v>30</v>
      </c>
      <c r="F11" s="7">
        <f t="shared" si="0"/>
        <v>27.5</v>
      </c>
      <c r="G11" s="7">
        <v>25</v>
      </c>
      <c r="H11" s="7">
        <v>20</v>
      </c>
      <c r="I11" s="7">
        <f t="shared" si="1"/>
        <v>22.5</v>
      </c>
    </row>
    <row r="12" spans="1:15" x14ac:dyDescent="0.15">
      <c r="A12" s="2" t="str">
        <f>Texte!A124</f>
        <v>Pferdemist Frisch</v>
      </c>
      <c r="B12" s="7" t="s">
        <v>63</v>
      </c>
      <c r="C12" s="8"/>
      <c r="D12" s="7">
        <v>10</v>
      </c>
      <c r="E12" s="3">
        <v>25</v>
      </c>
      <c r="F12" s="7">
        <f t="shared" si="0"/>
        <v>17.5</v>
      </c>
      <c r="G12" s="7">
        <v>15</v>
      </c>
      <c r="H12" s="7">
        <v>10</v>
      </c>
      <c r="I12" s="7">
        <f t="shared" si="1"/>
        <v>12.5</v>
      </c>
    </row>
    <row r="13" spans="1:15" x14ac:dyDescent="0.15">
      <c r="A13" s="2" t="str">
        <f>Texte!A125</f>
        <v>Pferdemist</v>
      </c>
      <c r="B13" s="7" t="s">
        <v>63</v>
      </c>
      <c r="C13" s="8"/>
      <c r="D13" s="7">
        <v>10</v>
      </c>
      <c r="E13" s="3">
        <v>25</v>
      </c>
      <c r="F13" s="7">
        <f t="shared" si="0"/>
        <v>17.5</v>
      </c>
      <c r="G13" s="7">
        <v>15</v>
      </c>
      <c r="H13" s="7">
        <v>10</v>
      </c>
      <c r="I13" s="7">
        <f t="shared" si="1"/>
        <v>12.5</v>
      </c>
    </row>
    <row r="14" spans="1:15" x14ac:dyDescent="0.15">
      <c r="A14" s="2" t="str">
        <f>Texte!A126</f>
        <v>Schaf-/Ziegenmist</v>
      </c>
      <c r="B14" s="7" t="s">
        <v>89</v>
      </c>
      <c r="C14" s="8"/>
      <c r="D14" s="7">
        <v>40</v>
      </c>
      <c r="E14" s="3">
        <v>60</v>
      </c>
      <c r="F14" s="7">
        <f t="shared" si="0"/>
        <v>50</v>
      </c>
      <c r="G14" s="7">
        <v>40</v>
      </c>
      <c r="H14" s="7">
        <v>30</v>
      </c>
      <c r="I14" s="7">
        <f t="shared" si="1"/>
        <v>35</v>
      </c>
    </row>
    <row r="15" spans="1:15" x14ac:dyDescent="0.15">
      <c r="C15" s="9"/>
    </row>
    <row r="16" spans="1:15" x14ac:dyDescent="0.15">
      <c r="A16" s="2" t="str">
        <f>Texte!A127</f>
        <v>Schweinegülle Mast</v>
      </c>
      <c r="B16" s="7" t="s">
        <v>91</v>
      </c>
      <c r="C16" s="7" t="s">
        <v>88</v>
      </c>
      <c r="D16" s="3">
        <v>50</v>
      </c>
      <c r="E16" s="3">
        <v>70</v>
      </c>
      <c r="F16" s="7">
        <f t="shared" si="0"/>
        <v>60</v>
      </c>
      <c r="G16" s="7">
        <v>60</v>
      </c>
      <c r="H16" s="7">
        <v>50</v>
      </c>
      <c r="I16" s="7">
        <f t="shared" si="1"/>
        <v>55</v>
      </c>
    </row>
    <row r="17" spans="1:10" x14ac:dyDescent="0.15">
      <c r="A17" s="2" t="str">
        <f>Texte!A128</f>
        <v>Schweinegülle Zucht</v>
      </c>
      <c r="B17" s="7" t="s">
        <v>91</v>
      </c>
      <c r="C17" s="7" t="s">
        <v>88</v>
      </c>
      <c r="D17" s="3">
        <v>50</v>
      </c>
      <c r="E17" s="3">
        <v>70</v>
      </c>
      <c r="F17" s="7">
        <f t="shared" si="0"/>
        <v>60</v>
      </c>
      <c r="G17" s="7">
        <v>60</v>
      </c>
      <c r="H17" s="7">
        <v>50</v>
      </c>
      <c r="I17" s="7">
        <f t="shared" si="1"/>
        <v>55</v>
      </c>
    </row>
    <row r="18" spans="1:10" x14ac:dyDescent="0.15">
      <c r="A18" s="2" t="str">
        <f>Texte!A129</f>
        <v>Schweinemist</v>
      </c>
      <c r="B18" s="7" t="s">
        <v>67</v>
      </c>
      <c r="C18" s="7" t="s">
        <v>90</v>
      </c>
      <c r="D18" s="3">
        <v>40</v>
      </c>
      <c r="E18" s="3">
        <v>60</v>
      </c>
      <c r="F18" s="7">
        <f t="shared" si="0"/>
        <v>50</v>
      </c>
      <c r="G18" s="2">
        <v>4</v>
      </c>
      <c r="H18" s="7">
        <v>35</v>
      </c>
      <c r="I18" s="7">
        <f t="shared" si="1"/>
        <v>19.5</v>
      </c>
    </row>
    <row r="19" spans="1:10" x14ac:dyDescent="0.15">
      <c r="C19" s="8"/>
    </row>
    <row r="20" spans="1:10" x14ac:dyDescent="0.15">
      <c r="A20" s="2" t="str">
        <f>Texte!A130</f>
        <v>Hennen (Kotband)</v>
      </c>
      <c r="B20" s="7" t="s">
        <v>92</v>
      </c>
      <c r="C20" s="7" t="s">
        <v>90</v>
      </c>
      <c r="D20" s="3">
        <v>40</v>
      </c>
      <c r="E20" s="3">
        <v>60</v>
      </c>
      <c r="F20" s="7">
        <f t="shared" si="0"/>
        <v>50</v>
      </c>
      <c r="G20" s="2">
        <v>4</v>
      </c>
      <c r="H20" s="7">
        <v>40</v>
      </c>
      <c r="I20" s="7">
        <f t="shared" si="1"/>
        <v>22</v>
      </c>
    </row>
    <row r="21" spans="1:10" x14ac:dyDescent="0.15">
      <c r="A21" s="2" t="str">
        <f>Texte!A131</f>
        <v>Hennen/Junghennenmist</v>
      </c>
      <c r="B21" s="7" t="s">
        <v>93</v>
      </c>
      <c r="C21" s="7" t="s">
        <v>90</v>
      </c>
      <c r="D21" s="3">
        <v>40</v>
      </c>
      <c r="E21" s="3">
        <v>60</v>
      </c>
      <c r="F21" s="7">
        <f t="shared" si="0"/>
        <v>50</v>
      </c>
      <c r="G21" s="2">
        <v>4</v>
      </c>
      <c r="H21" s="7">
        <v>35</v>
      </c>
      <c r="I21" s="7">
        <f t="shared" si="1"/>
        <v>19.5</v>
      </c>
    </row>
    <row r="22" spans="1:10" x14ac:dyDescent="0.15">
      <c r="A22" s="2" t="str">
        <f>Texte!A132</f>
        <v>Pouletmist</v>
      </c>
      <c r="B22" s="7" t="s">
        <v>94</v>
      </c>
      <c r="C22" s="7" t="s">
        <v>90</v>
      </c>
      <c r="D22" s="3">
        <v>40</v>
      </c>
      <c r="E22" s="3">
        <v>60</v>
      </c>
      <c r="F22" s="7">
        <f t="shared" si="0"/>
        <v>50</v>
      </c>
      <c r="G22" s="2">
        <v>4</v>
      </c>
      <c r="H22" s="7">
        <v>35</v>
      </c>
      <c r="I22" s="7">
        <f t="shared" si="1"/>
        <v>19.5</v>
      </c>
    </row>
    <row r="23" spans="1:10" x14ac:dyDescent="0.15">
      <c r="A23" s="2" t="str">
        <f>Texte!A133</f>
        <v>Trutenmist</v>
      </c>
      <c r="B23" s="7" t="s">
        <v>94</v>
      </c>
      <c r="C23" s="7" t="s">
        <v>90</v>
      </c>
      <c r="D23" s="3">
        <v>40</v>
      </c>
      <c r="E23" s="3">
        <v>60</v>
      </c>
      <c r="F23" s="7">
        <f t="shared" si="0"/>
        <v>50</v>
      </c>
      <c r="G23" s="2">
        <v>4</v>
      </c>
      <c r="H23" s="7">
        <v>35</v>
      </c>
      <c r="I23" s="7">
        <f t="shared" si="1"/>
        <v>19.5</v>
      </c>
    </row>
    <row r="24" spans="1:10" x14ac:dyDescent="0.15">
      <c r="A24" s="2" t="str">
        <f>Texte!A134</f>
        <v>Gärgülle</v>
      </c>
      <c r="D24" s="10">
        <v>60</v>
      </c>
      <c r="E24" s="10">
        <v>70</v>
      </c>
      <c r="F24" s="7">
        <f t="shared" si="0"/>
        <v>65</v>
      </c>
      <c r="G24" s="11">
        <v>70</v>
      </c>
      <c r="H24" s="10">
        <v>65</v>
      </c>
      <c r="I24" s="7">
        <f t="shared" si="1"/>
        <v>67.5</v>
      </c>
      <c r="J24" s="2" t="s">
        <v>113</v>
      </c>
    </row>
    <row r="25" spans="1:10" x14ac:dyDescent="0.15">
      <c r="A25" s="2" t="str">
        <f>Texte!A135</f>
        <v>Gärmist</v>
      </c>
      <c r="D25" s="10">
        <v>15</v>
      </c>
      <c r="E25" s="10">
        <v>25</v>
      </c>
      <c r="F25" s="7">
        <f>AVERAGE(D25:E25)</f>
        <v>20</v>
      </c>
      <c r="G25" s="11">
        <v>15</v>
      </c>
      <c r="H25" s="10">
        <v>10</v>
      </c>
      <c r="I25" s="7">
        <f t="shared" si="1"/>
        <v>12.5</v>
      </c>
      <c r="J25" s="2" t="s">
        <v>655</v>
      </c>
    </row>
    <row r="26" spans="1:10" x14ac:dyDescent="0.15">
      <c r="A26" s="3"/>
      <c r="C26" s="3"/>
      <c r="D26" s="10"/>
      <c r="E26" s="10"/>
      <c r="G26" s="11"/>
      <c r="H26" s="10"/>
    </row>
    <row r="27" spans="1:10" x14ac:dyDescent="0.15">
      <c r="A27" s="3"/>
      <c r="C27" s="3"/>
      <c r="D27" s="10"/>
      <c r="E27" s="10"/>
      <c r="G27" s="11"/>
      <c r="H27" s="10"/>
    </row>
    <row r="28" spans="1:10" x14ac:dyDescent="0.15">
      <c r="C28" s="3"/>
      <c r="D28" s="3"/>
      <c r="F28" s="2"/>
    </row>
    <row r="29" spans="1:10" x14ac:dyDescent="0.15">
      <c r="A29" s="7" t="s">
        <v>95</v>
      </c>
      <c r="C29" s="3"/>
      <c r="D29" s="3"/>
      <c r="F29" s="2"/>
    </row>
    <row r="30" spans="1:10" x14ac:dyDescent="0.15">
      <c r="A30" s="7" t="s">
        <v>96</v>
      </c>
      <c r="C30" s="3"/>
      <c r="D30" s="3"/>
      <c r="F30" s="2"/>
    </row>
    <row r="31" spans="1:10" x14ac:dyDescent="0.15">
      <c r="A31" s="7" t="s">
        <v>97</v>
      </c>
      <c r="B31" s="8"/>
    </row>
    <row r="32" spans="1:10" x14ac:dyDescent="0.15">
      <c r="A32" s="7" t="s">
        <v>98</v>
      </c>
    </row>
    <row r="33" spans="1:1" x14ac:dyDescent="0.15">
      <c r="A33" s="7" t="s">
        <v>99</v>
      </c>
    </row>
    <row r="34" spans="1:1" x14ac:dyDescent="0.15">
      <c r="A34" s="7" t="s">
        <v>100</v>
      </c>
    </row>
    <row r="35" spans="1:1" x14ac:dyDescent="0.15">
      <c r="A35" s="7" t="s">
        <v>101</v>
      </c>
    </row>
    <row r="36" spans="1:1" x14ac:dyDescent="0.15">
      <c r="A36" s="7" t="s">
        <v>102</v>
      </c>
    </row>
    <row r="37" spans="1:1" x14ac:dyDescent="0.15">
      <c r="A37" s="7" t="s">
        <v>103</v>
      </c>
    </row>
    <row r="38" spans="1:1" x14ac:dyDescent="0.15">
      <c r="A38" s="7" t="s">
        <v>104</v>
      </c>
    </row>
    <row r="39" spans="1:1" x14ac:dyDescent="0.15">
      <c r="A39" s="7" t="s">
        <v>105</v>
      </c>
    </row>
    <row r="40" spans="1:1" x14ac:dyDescent="0.15">
      <c r="A40" s="7" t="s">
        <v>106</v>
      </c>
    </row>
    <row r="41" spans="1:1" x14ac:dyDescent="0.15">
      <c r="A41" s="7" t="s">
        <v>107</v>
      </c>
    </row>
    <row r="42" spans="1:1" x14ac:dyDescent="0.15">
      <c r="A42" s="2" t="s">
        <v>108</v>
      </c>
    </row>
  </sheetData>
  <printOptions gridLines="1"/>
  <pageMargins left="1.1811023622047245" right="0.78740157480314965" top="1.5748031496062993" bottom="0.78740157480314965" header="0.51181102362204722" footer="0.51181102362204722"/>
  <pageSetup paperSize="9" orientation="portrait" r:id="rId1"/>
  <headerFooter alignWithMargins="0">
    <oddHeader>&amp;L&amp;G</oddHeader>
    <oddFooter>&amp;L&amp;8&amp;D / &amp;F /&amp;R&amp;8&amp;P/&amp;N</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6"/>
  <sheetViews>
    <sheetView zoomScaleNormal="100" workbookViewId="0">
      <selection activeCell="D70" sqref="D70"/>
    </sheetView>
  </sheetViews>
  <sheetFormatPr baseColWidth="10" defaultColWidth="11.42578125" defaultRowHeight="11.25" x14ac:dyDescent="0.15"/>
  <cols>
    <col min="1" max="1" width="16" style="7" customWidth="1"/>
    <col min="2" max="5" width="11.42578125" style="7"/>
    <col min="6" max="12" width="19.140625" style="7" customWidth="1"/>
    <col min="13" max="16384" width="11.42578125" style="7"/>
  </cols>
  <sheetData>
    <row r="1" spans="1:6" ht="12" x14ac:dyDescent="0.2">
      <c r="A1" s="5" t="s">
        <v>35</v>
      </c>
      <c r="B1" s="2">
        <v>52</v>
      </c>
      <c r="C1" s="2" t="s">
        <v>40</v>
      </c>
      <c r="D1" s="2"/>
      <c r="E1" s="2"/>
    </row>
    <row r="2" spans="1:6" x14ac:dyDescent="0.15">
      <c r="A2" s="2" t="s">
        <v>39</v>
      </c>
      <c r="B2" s="2">
        <v>45</v>
      </c>
      <c r="C2" s="2" t="s">
        <v>40</v>
      </c>
      <c r="D2" s="2"/>
      <c r="E2" s="2"/>
    </row>
    <row r="3" spans="1:6" x14ac:dyDescent="0.15">
      <c r="A3" s="2" t="s">
        <v>41</v>
      </c>
      <c r="B3" s="2">
        <v>50</v>
      </c>
      <c r="C3" s="2"/>
      <c r="D3" s="2"/>
      <c r="E3" s="2"/>
    </row>
    <row r="4" spans="1:6" x14ac:dyDescent="0.15">
      <c r="A4" s="2"/>
      <c r="B4" s="2"/>
      <c r="C4" s="2"/>
      <c r="D4" s="2"/>
      <c r="E4" s="2"/>
    </row>
    <row r="5" spans="1:6" x14ac:dyDescent="0.15">
      <c r="A5" s="2"/>
      <c r="B5" s="2"/>
      <c r="C5" s="2"/>
      <c r="D5" s="2"/>
      <c r="E5" s="2"/>
    </row>
    <row r="6" spans="1:6" x14ac:dyDescent="0.15">
      <c r="A6" s="3" t="s">
        <v>36</v>
      </c>
      <c r="B6" s="2"/>
      <c r="C6" s="2"/>
      <c r="D6" s="2"/>
      <c r="E6" s="2"/>
    </row>
    <row r="7" spans="1:6" x14ac:dyDescent="0.15">
      <c r="A7" s="2" t="s">
        <v>37</v>
      </c>
      <c r="B7" s="2">
        <v>0.65</v>
      </c>
      <c r="C7" s="2" t="s">
        <v>38</v>
      </c>
      <c r="D7" s="2">
        <f>B7/1000*1000000</f>
        <v>650</v>
      </c>
      <c r="E7" s="2" t="s">
        <v>30</v>
      </c>
    </row>
    <row r="8" spans="1:6" x14ac:dyDescent="0.15">
      <c r="A8" s="3"/>
      <c r="B8" s="6"/>
      <c r="C8" s="2"/>
      <c r="D8" s="2"/>
      <c r="E8" s="2"/>
    </row>
    <row r="9" spans="1:6" x14ac:dyDescent="0.15">
      <c r="A9" s="3"/>
      <c r="B9" s="6"/>
      <c r="C9" s="2" t="s">
        <v>512</v>
      </c>
      <c r="D9" s="2"/>
      <c r="E9" s="2"/>
    </row>
    <row r="10" spans="1:6" x14ac:dyDescent="0.15">
      <c r="A10" s="3" t="s">
        <v>73</v>
      </c>
      <c r="C10" s="2">
        <f>B3/D7*1000</f>
        <v>76.923076923076934</v>
      </c>
      <c r="D10" s="2"/>
      <c r="E10" s="2"/>
    </row>
    <row r="11" spans="1:6" x14ac:dyDescent="0.15">
      <c r="A11" s="3"/>
      <c r="B11" s="2"/>
      <c r="C11" s="2"/>
      <c r="D11" s="2"/>
      <c r="E11" s="2"/>
    </row>
    <row r="12" spans="1:6" x14ac:dyDescent="0.15">
      <c r="A12" s="3" t="s">
        <v>74</v>
      </c>
      <c r="B12" s="2"/>
      <c r="C12" s="2">
        <f>$C$10/E23</f>
        <v>0.1508295625942685</v>
      </c>
      <c r="D12" s="2"/>
      <c r="E12" s="2"/>
    </row>
    <row r="13" spans="1:6" x14ac:dyDescent="0.15">
      <c r="A13" s="3" t="s">
        <v>600</v>
      </c>
      <c r="B13" s="2"/>
      <c r="C13" s="2">
        <f>$C$10/E32</f>
        <v>1.2993762993762994</v>
      </c>
      <c r="D13" s="2"/>
      <c r="E13" s="2"/>
    </row>
    <row r="14" spans="1:6" x14ac:dyDescent="0.15">
      <c r="A14" s="3" t="s">
        <v>75</v>
      </c>
      <c r="B14" s="2" t="s">
        <v>26</v>
      </c>
      <c r="C14" s="2">
        <f>$C$10/E28</f>
        <v>0.3594536304816679</v>
      </c>
      <c r="D14" s="2"/>
      <c r="E14" s="2"/>
    </row>
    <row r="15" spans="1:6" x14ac:dyDescent="0.15">
      <c r="A15" s="3"/>
      <c r="B15" s="2"/>
      <c r="C15" s="2"/>
      <c r="D15" s="2"/>
      <c r="E15" s="2"/>
    </row>
    <row r="16" spans="1:6" x14ac:dyDescent="0.15">
      <c r="A16" s="3" t="s">
        <v>179</v>
      </c>
      <c r="B16" s="2"/>
      <c r="C16" s="2" t="s">
        <v>115</v>
      </c>
      <c r="D16" s="2"/>
      <c r="E16" s="2"/>
      <c r="F16" s="1" t="s">
        <v>180</v>
      </c>
    </row>
    <row r="17" spans="1:14" x14ac:dyDescent="0.15">
      <c r="A17" s="7" t="s">
        <v>45</v>
      </c>
      <c r="B17" s="8">
        <v>2</v>
      </c>
      <c r="C17" s="7">
        <v>3</v>
      </c>
      <c r="D17" s="7">
        <v>4</v>
      </c>
      <c r="E17" s="3">
        <v>5</v>
      </c>
      <c r="F17" s="3">
        <v>6</v>
      </c>
      <c r="G17" s="3">
        <v>7</v>
      </c>
      <c r="H17" s="3">
        <v>8</v>
      </c>
      <c r="I17" s="3">
        <v>9</v>
      </c>
      <c r="J17" s="3">
        <v>10</v>
      </c>
      <c r="K17" s="3">
        <v>11</v>
      </c>
    </row>
    <row r="18" spans="1:14" x14ac:dyDescent="0.15">
      <c r="B18" s="8"/>
      <c r="C18" s="7" t="s">
        <v>24</v>
      </c>
      <c r="D18" s="2" t="s">
        <v>190</v>
      </c>
      <c r="E18" s="7" t="s">
        <v>50</v>
      </c>
      <c r="F18" s="56" t="s">
        <v>181</v>
      </c>
      <c r="G18" s="2" t="s">
        <v>188</v>
      </c>
      <c r="H18" s="2" t="s">
        <v>189</v>
      </c>
      <c r="I18" s="2" t="s">
        <v>183</v>
      </c>
      <c r="J18" s="12" t="s">
        <v>656</v>
      </c>
      <c r="K18" s="2" t="s">
        <v>184</v>
      </c>
      <c r="L18" s="2" t="s">
        <v>34</v>
      </c>
    </row>
    <row r="19" spans="1:14" x14ac:dyDescent="0.15">
      <c r="B19" s="8"/>
      <c r="C19" s="7" t="s">
        <v>46</v>
      </c>
      <c r="D19" s="7" t="s">
        <v>48</v>
      </c>
    </row>
    <row r="20" spans="1:14" x14ac:dyDescent="0.15">
      <c r="B20" s="8"/>
      <c r="C20" s="7" t="s">
        <v>47</v>
      </c>
      <c r="D20" s="7" t="s">
        <v>49</v>
      </c>
    </row>
    <row r="21" spans="1:14" x14ac:dyDescent="0.15">
      <c r="A21" s="2" t="s">
        <v>185</v>
      </c>
      <c r="B21" s="2" t="s">
        <v>38</v>
      </c>
      <c r="D21" s="7">
        <v>1</v>
      </c>
      <c r="E21" s="7">
        <v>0.65</v>
      </c>
      <c r="F21" s="7">
        <v>1</v>
      </c>
      <c r="G21" s="7">
        <v>1</v>
      </c>
      <c r="H21" s="7">
        <v>1</v>
      </c>
      <c r="I21" s="3">
        <v>0.37</v>
      </c>
      <c r="J21" s="3"/>
      <c r="K21" s="3">
        <v>0.5</v>
      </c>
      <c r="L21" s="3">
        <v>0.6</v>
      </c>
    </row>
    <row r="22" spans="1:14" x14ac:dyDescent="0.15">
      <c r="A22" s="7" t="s">
        <v>51</v>
      </c>
      <c r="I22" s="2" t="s">
        <v>30</v>
      </c>
      <c r="J22" s="2" t="s">
        <v>619</v>
      </c>
    </row>
    <row r="23" spans="1:14" x14ac:dyDescent="0.15">
      <c r="A23" s="7" t="str">
        <f>Texte!$A$94</f>
        <v>TS</v>
      </c>
      <c r="C23" s="7">
        <v>490</v>
      </c>
      <c r="D23" s="7">
        <v>130</v>
      </c>
      <c r="E23" s="7">
        <v>510</v>
      </c>
      <c r="F23" s="7">
        <v>51</v>
      </c>
      <c r="G23" s="7">
        <v>45</v>
      </c>
      <c r="H23" s="7">
        <v>140</v>
      </c>
      <c r="J23" s="3">
        <v>271</v>
      </c>
      <c r="K23" s="3">
        <v>448</v>
      </c>
      <c r="L23" s="3">
        <v>545</v>
      </c>
    </row>
    <row r="24" spans="1:14" x14ac:dyDescent="0.15">
      <c r="A24" s="7" t="s">
        <v>52</v>
      </c>
      <c r="C24" s="7">
        <v>290</v>
      </c>
      <c r="D24" s="7">
        <v>50</v>
      </c>
      <c r="E24" s="7">
        <v>220</v>
      </c>
    </row>
    <row r="25" spans="1:14" x14ac:dyDescent="0.15">
      <c r="A25" s="7" t="s">
        <v>53</v>
      </c>
      <c r="C25" s="7">
        <v>820</v>
      </c>
      <c r="D25" s="7">
        <v>230</v>
      </c>
      <c r="E25" s="7">
        <v>930</v>
      </c>
    </row>
    <row r="26" spans="1:14" x14ac:dyDescent="0.15">
      <c r="A26" s="7" t="s">
        <v>54</v>
      </c>
      <c r="C26" s="7">
        <v>197</v>
      </c>
      <c r="D26" s="7">
        <v>106</v>
      </c>
      <c r="E26" s="7">
        <v>1041</v>
      </c>
    </row>
    <row r="27" spans="1:14" x14ac:dyDescent="0.15">
      <c r="A27" s="3" t="s">
        <v>186</v>
      </c>
      <c r="C27" s="7">
        <f>C28/C23*100</f>
        <v>47.959183673469383</v>
      </c>
      <c r="D27" s="7">
        <f>D28/D23*100</f>
        <v>46.92307692307692</v>
      </c>
      <c r="E27" s="7">
        <f>E28/E23*100</f>
        <v>41.96078431372549</v>
      </c>
      <c r="F27" s="11">
        <v>46</v>
      </c>
      <c r="G27" s="11">
        <v>46</v>
      </c>
      <c r="H27" s="11">
        <v>46</v>
      </c>
      <c r="J27" s="11">
        <v>42</v>
      </c>
      <c r="K27" s="11">
        <v>42</v>
      </c>
      <c r="L27" s="11">
        <v>42</v>
      </c>
    </row>
    <row r="28" spans="1:14" x14ac:dyDescent="0.15">
      <c r="A28" s="7" t="str">
        <f>Texte!$A$98</f>
        <v>OS</v>
      </c>
      <c r="C28" s="7">
        <v>235</v>
      </c>
      <c r="D28" s="7">
        <v>61</v>
      </c>
      <c r="E28" s="7">
        <v>214</v>
      </c>
      <c r="F28" s="11">
        <f t="shared" ref="F28:L28" si="0">F23/100*F27</f>
        <v>23.46</v>
      </c>
      <c r="G28" s="11">
        <f t="shared" si="0"/>
        <v>20.7</v>
      </c>
      <c r="H28" s="11">
        <f t="shared" si="0"/>
        <v>64.399999999999991</v>
      </c>
      <c r="J28" s="11">
        <f>J23/100*J27</f>
        <v>113.82</v>
      </c>
      <c r="K28" s="11">
        <f t="shared" si="0"/>
        <v>188.16000000000003</v>
      </c>
      <c r="L28" s="11">
        <f t="shared" si="0"/>
        <v>228.9</v>
      </c>
      <c r="M28" s="2" t="s">
        <v>182</v>
      </c>
      <c r="N28" s="2" t="s">
        <v>187</v>
      </c>
    </row>
    <row r="29" spans="1:14" x14ac:dyDescent="0.15">
      <c r="A29" s="7" t="s">
        <v>16</v>
      </c>
      <c r="C29" s="7">
        <v>44</v>
      </c>
      <c r="D29" s="7">
        <v>47</v>
      </c>
      <c r="E29" s="7">
        <v>46</v>
      </c>
    </row>
    <row r="30" spans="1:14" x14ac:dyDescent="0.15">
      <c r="A30" s="7" t="s">
        <v>17</v>
      </c>
      <c r="C30" s="7">
        <v>368</v>
      </c>
      <c r="D30" s="7">
        <v>77</v>
      </c>
      <c r="E30" s="7">
        <v>480</v>
      </c>
    </row>
    <row r="31" spans="1:14" x14ac:dyDescent="0.15">
      <c r="A31" s="7" t="s">
        <v>55</v>
      </c>
      <c r="C31" s="7">
        <v>197</v>
      </c>
      <c r="D31" s="7">
        <v>106</v>
      </c>
      <c r="E31" s="7">
        <v>1041</v>
      </c>
    </row>
    <row r="32" spans="1:14" x14ac:dyDescent="0.15">
      <c r="A32" s="3" t="s">
        <v>583</v>
      </c>
      <c r="C32" s="7">
        <f>Formeln_GRUD!X$9</f>
        <v>69.599999999999994</v>
      </c>
      <c r="D32" s="7">
        <f>Formeln_GRUD!Y$9</f>
        <v>15</v>
      </c>
      <c r="E32" s="7">
        <f>Formeln_GRUD!Z$9</f>
        <v>59.2</v>
      </c>
    </row>
    <row r="33" spans="1:12" x14ac:dyDescent="0.15">
      <c r="A33" s="3" t="str">
        <f>Texte!$A$99</f>
        <v>Nges</v>
      </c>
      <c r="B33" s="7" t="s">
        <v>32</v>
      </c>
      <c r="C33" s="3">
        <v>6</v>
      </c>
      <c r="D33" s="3">
        <v>4</v>
      </c>
      <c r="E33" s="3">
        <v>7</v>
      </c>
      <c r="F33" s="7">
        <v>3.3</v>
      </c>
      <c r="G33" s="7">
        <v>3.6</v>
      </c>
      <c r="H33" s="7">
        <v>5.0999999999999996</v>
      </c>
      <c r="I33" s="3">
        <v>2.1</v>
      </c>
      <c r="J33" s="3">
        <f>I33/$I$21</f>
        <v>5.6756756756756763</v>
      </c>
      <c r="K33" s="3">
        <v>3.3</v>
      </c>
      <c r="L33" s="3">
        <v>4.5999999999999996</v>
      </c>
    </row>
    <row r="34" spans="1:12" x14ac:dyDescent="0.15">
      <c r="A34" s="7" t="s">
        <v>16</v>
      </c>
      <c r="C34" s="7">
        <v>2</v>
      </c>
      <c r="D34" s="3">
        <v>2</v>
      </c>
      <c r="E34" s="7">
        <v>2</v>
      </c>
    </row>
    <row r="35" spans="1:12" x14ac:dyDescent="0.15">
      <c r="A35" s="7" t="s">
        <v>17</v>
      </c>
      <c r="C35" s="7">
        <v>14</v>
      </c>
      <c r="D35" s="7">
        <v>8</v>
      </c>
      <c r="E35" s="7">
        <v>15</v>
      </c>
    </row>
    <row r="36" spans="1:12" x14ac:dyDescent="0.15">
      <c r="A36" s="7" t="s">
        <v>55</v>
      </c>
      <c r="C36" s="7">
        <v>197</v>
      </c>
      <c r="D36" s="7">
        <v>106</v>
      </c>
      <c r="E36" s="7">
        <v>1039</v>
      </c>
    </row>
    <row r="38" spans="1:12" x14ac:dyDescent="0.15">
      <c r="A38" s="7" t="s">
        <v>10</v>
      </c>
      <c r="C38" s="7">
        <v>0.3</v>
      </c>
      <c r="D38" s="3">
        <v>2</v>
      </c>
      <c r="E38" s="7">
        <v>0.3</v>
      </c>
      <c r="F38" s="7">
        <v>1.8</v>
      </c>
      <c r="G38" s="7">
        <v>1.2</v>
      </c>
      <c r="H38" s="7">
        <v>1.8</v>
      </c>
      <c r="I38" s="3">
        <v>0.7</v>
      </c>
      <c r="J38" s="3">
        <f>I38/$I$21</f>
        <v>1.8918918918918919</v>
      </c>
      <c r="K38" s="3">
        <v>0.3</v>
      </c>
      <c r="L38" s="3">
        <v>0.01</v>
      </c>
    </row>
    <row r="39" spans="1:12" x14ac:dyDescent="0.15">
      <c r="A39" s="7" t="s">
        <v>16</v>
      </c>
      <c r="C39" s="7">
        <v>5.0000000000000001E-3</v>
      </c>
      <c r="D39" s="3">
        <v>1</v>
      </c>
      <c r="E39" s="7">
        <v>0.01</v>
      </c>
    </row>
    <row r="40" spans="1:12" x14ac:dyDescent="0.15">
      <c r="A40" s="7" t="s">
        <v>17</v>
      </c>
      <c r="C40" s="7">
        <v>2.5</v>
      </c>
      <c r="D40" s="7">
        <v>5</v>
      </c>
      <c r="E40" s="7">
        <v>3</v>
      </c>
    </row>
    <row r="41" spans="1:12" x14ac:dyDescent="0.15">
      <c r="A41" s="7" t="s">
        <v>55</v>
      </c>
      <c r="C41" s="7">
        <v>197</v>
      </c>
      <c r="D41" s="7">
        <v>82</v>
      </c>
      <c r="E41" s="7">
        <v>362</v>
      </c>
    </row>
    <row r="42" spans="1:12" x14ac:dyDescent="0.15">
      <c r="A42" s="3" t="str">
        <f>Texte!$A$100</f>
        <v>Nverf</v>
      </c>
      <c r="C42" s="7">
        <f>C33*C43/100</f>
        <v>0.6</v>
      </c>
      <c r="D42" s="7">
        <f>D33*D43/100</f>
        <v>2.6</v>
      </c>
      <c r="E42" s="7">
        <f>E33*E43/100</f>
        <v>0.52500000000000002</v>
      </c>
      <c r="F42" s="7">
        <v>2.2999999999999998</v>
      </c>
      <c r="G42" s="7">
        <v>2.2999999999999998</v>
      </c>
      <c r="H42" s="7">
        <v>2.6</v>
      </c>
      <c r="I42" s="3">
        <v>0.4</v>
      </c>
      <c r="J42" s="3">
        <f>I42/$I$21</f>
        <v>1.0810810810810811</v>
      </c>
      <c r="K42" s="3">
        <v>0.7</v>
      </c>
      <c r="L42" s="3">
        <v>0.5</v>
      </c>
    </row>
    <row r="43" spans="1:12" x14ac:dyDescent="0.15">
      <c r="A43" s="2" t="s">
        <v>59</v>
      </c>
      <c r="C43" s="11">
        <v>10</v>
      </c>
      <c r="D43" s="12">
        <v>65</v>
      </c>
      <c r="E43" s="7">
        <f>AVERAGE(E44:E45)</f>
        <v>7.5</v>
      </c>
      <c r="F43" s="7">
        <f t="shared" ref="F43:L43" si="1">F42/F33*100</f>
        <v>69.696969696969688</v>
      </c>
      <c r="G43" s="7">
        <f t="shared" si="1"/>
        <v>63.888888888888886</v>
      </c>
      <c r="H43" s="7">
        <f t="shared" si="1"/>
        <v>50.980392156862756</v>
      </c>
      <c r="I43" s="7">
        <f t="shared" si="1"/>
        <v>19.047619047619047</v>
      </c>
      <c r="J43" s="7">
        <f t="shared" si="1"/>
        <v>19.047619047619047</v>
      </c>
      <c r="K43" s="7">
        <f t="shared" si="1"/>
        <v>21.212121212121211</v>
      </c>
      <c r="L43" s="7">
        <f t="shared" si="1"/>
        <v>10.869565217391305</v>
      </c>
    </row>
    <row r="44" spans="1:12" x14ac:dyDescent="0.15">
      <c r="A44" s="3" t="s">
        <v>16</v>
      </c>
      <c r="E44" s="7">
        <v>5</v>
      </c>
    </row>
    <row r="45" spans="1:12" x14ac:dyDescent="0.15">
      <c r="A45" s="3" t="s">
        <v>17</v>
      </c>
      <c r="E45" s="3">
        <v>10</v>
      </c>
    </row>
    <row r="47" spans="1:12" x14ac:dyDescent="0.15">
      <c r="A47" s="2" t="s">
        <v>56</v>
      </c>
      <c r="C47" s="2">
        <v>1.3</v>
      </c>
      <c r="D47" s="2">
        <v>0.9</v>
      </c>
      <c r="E47" s="2">
        <v>1.3</v>
      </c>
      <c r="L47" s="2"/>
    </row>
    <row r="48" spans="1:12" x14ac:dyDescent="0.15">
      <c r="A48" s="7" t="s">
        <v>16</v>
      </c>
      <c r="C48" s="2">
        <v>0.4</v>
      </c>
      <c r="D48" s="2">
        <v>0.4</v>
      </c>
      <c r="E48" s="2">
        <v>0.4</v>
      </c>
      <c r="L48" s="2"/>
    </row>
    <row r="49" spans="1:12" x14ac:dyDescent="0.15">
      <c r="A49" s="7" t="s">
        <v>17</v>
      </c>
      <c r="C49" s="2">
        <v>3.5</v>
      </c>
      <c r="D49" s="2">
        <v>1.7</v>
      </c>
      <c r="E49" s="2">
        <v>6.5</v>
      </c>
    </row>
    <row r="50" spans="1:12" x14ac:dyDescent="0.15">
      <c r="A50" s="7" t="s">
        <v>55</v>
      </c>
      <c r="C50" s="7">
        <v>197</v>
      </c>
      <c r="D50" s="7">
        <v>106</v>
      </c>
      <c r="E50" s="7">
        <v>1038</v>
      </c>
    </row>
    <row r="52" spans="1:12" x14ac:dyDescent="0.15">
      <c r="A52" s="7" t="str">
        <f>Texte!$A$101</f>
        <v>P2O5</v>
      </c>
      <c r="C52" s="7">
        <v>3</v>
      </c>
      <c r="D52" s="7">
        <v>2</v>
      </c>
      <c r="E52" s="7">
        <v>3</v>
      </c>
      <c r="F52" s="7">
        <v>1.3</v>
      </c>
      <c r="G52" s="7">
        <v>1.2</v>
      </c>
      <c r="H52" s="7">
        <v>1.8</v>
      </c>
      <c r="I52" s="3">
        <v>1.4</v>
      </c>
      <c r="J52" s="3">
        <f>I52/$I$21</f>
        <v>3.7837837837837838</v>
      </c>
      <c r="K52" s="3">
        <v>1.5</v>
      </c>
      <c r="L52" s="3">
        <v>2</v>
      </c>
    </row>
    <row r="53" spans="1:12" x14ac:dyDescent="0.15">
      <c r="A53" s="7" t="s">
        <v>16</v>
      </c>
      <c r="C53" s="7">
        <v>1</v>
      </c>
      <c r="D53" s="7">
        <v>1</v>
      </c>
      <c r="E53" s="7">
        <v>1</v>
      </c>
    </row>
    <row r="54" spans="1:12" x14ac:dyDescent="0.15">
      <c r="A54" s="7" t="s">
        <v>17</v>
      </c>
      <c r="C54" s="3">
        <v>8</v>
      </c>
      <c r="D54" s="3">
        <v>4</v>
      </c>
      <c r="E54" s="3">
        <v>15</v>
      </c>
    </row>
    <row r="55" spans="1:12" x14ac:dyDescent="0.15">
      <c r="A55" s="7" t="s">
        <v>55</v>
      </c>
      <c r="C55" s="3">
        <v>197</v>
      </c>
      <c r="D55" s="3">
        <v>106</v>
      </c>
      <c r="E55" s="3">
        <v>1038</v>
      </c>
    </row>
    <row r="57" spans="1:12" x14ac:dyDescent="0.15">
      <c r="A57" s="7" t="s">
        <v>57</v>
      </c>
      <c r="C57" s="2">
        <v>4.2</v>
      </c>
      <c r="D57" s="2">
        <v>3.3</v>
      </c>
      <c r="E57" s="2">
        <v>4.2</v>
      </c>
    </row>
    <row r="58" spans="1:12" x14ac:dyDescent="0.15">
      <c r="A58" s="7" t="s">
        <v>16</v>
      </c>
      <c r="C58" s="2">
        <v>1.7</v>
      </c>
      <c r="D58" s="2">
        <v>0.8</v>
      </c>
      <c r="E58" s="2">
        <v>1.7</v>
      </c>
    </row>
    <row r="59" spans="1:12" x14ac:dyDescent="0.15">
      <c r="A59" s="7" t="s">
        <v>17</v>
      </c>
      <c r="C59" s="2">
        <v>12.5</v>
      </c>
      <c r="D59" s="2">
        <v>6.6</v>
      </c>
      <c r="E59" s="7">
        <v>14</v>
      </c>
    </row>
    <row r="60" spans="1:12" x14ac:dyDescent="0.15">
      <c r="A60" s="7" t="s">
        <v>55</v>
      </c>
      <c r="C60" s="7">
        <v>197</v>
      </c>
      <c r="D60" s="7">
        <v>106</v>
      </c>
      <c r="E60" s="7">
        <v>1038</v>
      </c>
    </row>
    <row r="62" spans="1:12" x14ac:dyDescent="0.15">
      <c r="A62" s="3" t="str">
        <f>Texte!$A$102</f>
        <v>K2O</v>
      </c>
      <c r="C62" s="7">
        <v>5</v>
      </c>
      <c r="D62" s="7">
        <v>4</v>
      </c>
      <c r="E62" s="7">
        <v>5</v>
      </c>
      <c r="F62" s="7">
        <v>3.8</v>
      </c>
      <c r="G62" s="7">
        <v>3.1</v>
      </c>
      <c r="H62" s="7">
        <v>4.5999999999999996</v>
      </c>
      <c r="I62" s="3">
        <v>1.7</v>
      </c>
      <c r="J62" s="3">
        <f>I62/$I$21</f>
        <v>4.5945945945945947</v>
      </c>
      <c r="K62" s="3">
        <v>2.7</v>
      </c>
      <c r="L62" s="3">
        <v>4.3</v>
      </c>
    </row>
    <row r="63" spans="1:12" x14ac:dyDescent="0.15">
      <c r="A63" s="7" t="s">
        <v>16</v>
      </c>
      <c r="C63" s="7">
        <v>2</v>
      </c>
      <c r="D63" s="7">
        <v>1</v>
      </c>
      <c r="E63" s="7">
        <v>2</v>
      </c>
    </row>
    <row r="64" spans="1:12" x14ac:dyDescent="0.15">
      <c r="A64" s="7" t="s">
        <v>17</v>
      </c>
      <c r="C64" s="3">
        <v>15</v>
      </c>
      <c r="D64" s="3">
        <v>8</v>
      </c>
      <c r="E64" s="3">
        <v>17</v>
      </c>
    </row>
    <row r="65" spans="1:12" x14ac:dyDescent="0.15">
      <c r="A65" s="7" t="s">
        <v>55</v>
      </c>
      <c r="C65" s="3">
        <v>197</v>
      </c>
      <c r="D65" s="3">
        <v>106</v>
      </c>
      <c r="E65" s="3">
        <v>1038</v>
      </c>
    </row>
    <row r="67" spans="1:12" x14ac:dyDescent="0.15">
      <c r="A67" s="7" t="str">
        <f>Texte!$A$103</f>
        <v>Mg</v>
      </c>
      <c r="C67" s="3">
        <v>3</v>
      </c>
      <c r="D67" s="7">
        <v>1</v>
      </c>
      <c r="E67" s="7">
        <v>3</v>
      </c>
      <c r="F67" s="7">
        <v>0.4</v>
      </c>
      <c r="G67" s="7">
        <v>0.3</v>
      </c>
      <c r="H67" s="7">
        <v>0.9</v>
      </c>
      <c r="I67" s="7">
        <v>0.4</v>
      </c>
      <c r="J67" s="3">
        <f>I67/$I$21</f>
        <v>1.0810810810810811</v>
      </c>
      <c r="K67" s="7">
        <v>1</v>
      </c>
      <c r="L67" s="7">
        <v>1.8</v>
      </c>
    </row>
    <row r="68" spans="1:12" x14ac:dyDescent="0.15">
      <c r="A68" s="7" t="s">
        <v>16</v>
      </c>
      <c r="C68" s="3">
        <v>1</v>
      </c>
      <c r="D68" s="7">
        <v>0.5</v>
      </c>
      <c r="E68" s="7">
        <v>0.5</v>
      </c>
    </row>
    <row r="69" spans="1:12" x14ac:dyDescent="0.15">
      <c r="A69" s="7" t="s">
        <v>17</v>
      </c>
      <c r="C69" s="7">
        <v>7</v>
      </c>
      <c r="D69" s="7">
        <v>2</v>
      </c>
      <c r="E69" s="7">
        <v>10</v>
      </c>
    </row>
    <row r="70" spans="1:12" x14ac:dyDescent="0.15">
      <c r="A70" s="7" t="s">
        <v>55</v>
      </c>
      <c r="C70" s="7">
        <v>197</v>
      </c>
      <c r="D70" s="7">
        <v>106</v>
      </c>
      <c r="E70" s="7">
        <v>1038</v>
      </c>
    </row>
    <row r="72" spans="1:12" x14ac:dyDescent="0.15">
      <c r="A72" s="7" t="str">
        <f>Texte!$A$104</f>
        <v>Ca</v>
      </c>
      <c r="C72" s="7">
        <v>25</v>
      </c>
      <c r="D72" s="7">
        <v>5</v>
      </c>
      <c r="E72" s="7">
        <v>25</v>
      </c>
      <c r="F72" s="7">
        <v>1.5</v>
      </c>
      <c r="G72" s="7">
        <v>1.4</v>
      </c>
      <c r="H72" s="7">
        <v>5.0999999999999996</v>
      </c>
      <c r="I72" s="3">
        <v>1.4</v>
      </c>
      <c r="J72" s="3">
        <f>I72/$I$21</f>
        <v>3.7837837837837838</v>
      </c>
      <c r="K72" s="3">
        <v>10.3</v>
      </c>
      <c r="L72" s="3">
        <v>15.7</v>
      </c>
    </row>
    <row r="73" spans="1:12" x14ac:dyDescent="0.15">
      <c r="A73" s="7" t="s">
        <v>16</v>
      </c>
      <c r="C73" s="7">
        <v>11</v>
      </c>
      <c r="D73" s="3">
        <v>3</v>
      </c>
      <c r="E73" s="7">
        <v>7</v>
      </c>
    </row>
    <row r="74" spans="1:12" x14ac:dyDescent="0.15">
      <c r="A74" s="7" t="s">
        <v>17</v>
      </c>
      <c r="C74" s="7">
        <v>80</v>
      </c>
      <c r="D74" s="7">
        <v>11</v>
      </c>
      <c r="E74" s="7">
        <v>28</v>
      </c>
    </row>
    <row r="75" spans="1:12" x14ac:dyDescent="0.15">
      <c r="A75" s="7" t="s">
        <v>55</v>
      </c>
      <c r="C75" s="7">
        <v>197</v>
      </c>
      <c r="D75" s="7">
        <v>106</v>
      </c>
      <c r="E75" s="7">
        <v>943</v>
      </c>
    </row>
    <row r="77" spans="1:12" x14ac:dyDescent="0.15">
      <c r="A77" s="7" t="s">
        <v>58</v>
      </c>
      <c r="C77" s="7">
        <v>3</v>
      </c>
      <c r="D77" s="7">
        <v>12</v>
      </c>
      <c r="E77" s="7">
        <v>3</v>
      </c>
    </row>
    <row r="78" spans="1:12" x14ac:dyDescent="0.15">
      <c r="A78" s="7" t="s">
        <v>16</v>
      </c>
      <c r="C78" s="7">
        <v>0.6</v>
      </c>
      <c r="D78" s="7">
        <v>7</v>
      </c>
      <c r="E78" s="7">
        <v>0.6</v>
      </c>
    </row>
    <row r="79" spans="1:12" x14ac:dyDescent="0.15">
      <c r="A79" s="7" t="s">
        <v>17</v>
      </c>
      <c r="C79" s="7">
        <v>8</v>
      </c>
      <c r="D79" s="7">
        <v>30</v>
      </c>
      <c r="E79" s="7">
        <v>8</v>
      </c>
    </row>
    <row r="80" spans="1:12" x14ac:dyDescent="0.15">
      <c r="A80" s="7" t="s">
        <v>55</v>
      </c>
      <c r="C80" s="7">
        <v>197</v>
      </c>
      <c r="D80" s="7">
        <v>82</v>
      </c>
      <c r="E80" s="7">
        <v>481</v>
      </c>
    </row>
    <row r="86" spans="1:6" x14ac:dyDescent="0.15">
      <c r="A86" s="2" t="s">
        <v>452</v>
      </c>
    </row>
    <row r="88" spans="1:6" x14ac:dyDescent="0.15">
      <c r="A88" s="2" t="s">
        <v>453</v>
      </c>
      <c r="B88" s="2" t="s">
        <v>460</v>
      </c>
      <c r="C88" s="2" t="s">
        <v>461</v>
      </c>
      <c r="D88" s="3" t="s">
        <v>462</v>
      </c>
    </row>
    <row r="89" spans="1:6" x14ac:dyDescent="0.15">
      <c r="A89" s="2" t="s">
        <v>34</v>
      </c>
      <c r="B89" s="7">
        <v>15</v>
      </c>
      <c r="C89" s="7">
        <v>0.45</v>
      </c>
      <c r="D89" s="7">
        <v>7</v>
      </c>
    </row>
    <row r="90" spans="1:6" x14ac:dyDescent="0.15">
      <c r="A90" s="3" t="s">
        <v>454</v>
      </c>
      <c r="B90" s="7">
        <v>14</v>
      </c>
      <c r="C90" s="7">
        <v>0.35</v>
      </c>
      <c r="D90" s="7">
        <v>17</v>
      </c>
    </row>
    <row r="91" spans="1:6" x14ac:dyDescent="0.15">
      <c r="A91" s="3" t="s">
        <v>455</v>
      </c>
      <c r="B91" s="7">
        <v>8</v>
      </c>
      <c r="C91" s="7">
        <v>0.22</v>
      </c>
      <c r="D91" s="7">
        <v>70</v>
      </c>
    </row>
    <row r="92" spans="1:6" x14ac:dyDescent="0.15">
      <c r="A92" s="3" t="s">
        <v>456</v>
      </c>
      <c r="B92" s="3">
        <v>8</v>
      </c>
      <c r="C92" s="3">
        <v>0.4</v>
      </c>
      <c r="D92" s="3">
        <v>35</v>
      </c>
    </row>
    <row r="93" spans="1:6" x14ac:dyDescent="0.15">
      <c r="A93" s="3" t="s">
        <v>457</v>
      </c>
      <c r="B93" s="3">
        <v>4</v>
      </c>
      <c r="C93" s="3">
        <v>0.4</v>
      </c>
      <c r="D93" s="3">
        <v>50</v>
      </c>
    </row>
    <row r="94" spans="1:6" x14ac:dyDescent="0.15">
      <c r="A94" s="3" t="s">
        <v>458</v>
      </c>
      <c r="B94" s="3">
        <v>75</v>
      </c>
      <c r="C94" s="3">
        <v>0.24</v>
      </c>
      <c r="D94" s="3">
        <f>D89*100/56</f>
        <v>12.5</v>
      </c>
      <c r="F94" s="2" t="s">
        <v>459</v>
      </c>
    </row>
    <row r="100" spans="1:10" ht="19.5" thickBot="1" x14ac:dyDescent="0.2">
      <c r="A100" s="179" t="s">
        <v>554</v>
      </c>
      <c r="B100"/>
      <c r="C100"/>
    </row>
    <row r="101" spans="1:10" ht="26.25" thickBot="1" x14ac:dyDescent="0.2">
      <c r="B101" s="2" t="s">
        <v>599</v>
      </c>
      <c r="C101" s="180" t="s">
        <v>555</v>
      </c>
      <c r="D101" s="181" t="s">
        <v>556</v>
      </c>
      <c r="E101" s="181" t="s">
        <v>557</v>
      </c>
      <c r="F101" s="181" t="s">
        <v>598</v>
      </c>
      <c r="G101" s="181" t="s">
        <v>597</v>
      </c>
      <c r="H101" s="203" t="s">
        <v>596</v>
      </c>
      <c r="I101" s="195"/>
      <c r="J101" s="195"/>
    </row>
    <row r="102" spans="1:10" ht="19.5" thickBot="1" x14ac:dyDescent="0.2">
      <c r="C102" s="265" t="s">
        <v>558</v>
      </c>
      <c r="D102" s="266"/>
      <c r="E102" s="182"/>
      <c r="F102" s="201"/>
    </row>
    <row r="103" spans="1:10" ht="13.5" thickBot="1" x14ac:dyDescent="0.2">
      <c r="C103" s="183" t="s">
        <v>559</v>
      </c>
      <c r="D103" s="184">
        <v>86</v>
      </c>
      <c r="E103" s="185">
        <v>100</v>
      </c>
      <c r="F103" s="197"/>
    </row>
    <row r="104" spans="1:10" ht="63.75" x14ac:dyDescent="0.15">
      <c r="C104" s="186" t="s">
        <v>560</v>
      </c>
      <c r="D104" s="187">
        <v>10</v>
      </c>
      <c r="E104" s="187">
        <v>8</v>
      </c>
      <c r="F104" s="199"/>
      <c r="G104" s="7">
        <v>0.8</v>
      </c>
    </row>
    <row r="105" spans="1:10" ht="13.5" thickBot="1" x14ac:dyDescent="0.2">
      <c r="C105" s="183" t="s">
        <v>520</v>
      </c>
      <c r="D105" s="184">
        <v>20</v>
      </c>
      <c r="E105" s="184">
        <v>16</v>
      </c>
      <c r="F105" s="199"/>
      <c r="G105" s="7">
        <v>0.8</v>
      </c>
    </row>
    <row r="106" spans="1:10" ht="19.5" thickBot="1" x14ac:dyDescent="0.2">
      <c r="C106" s="265" t="s">
        <v>561</v>
      </c>
      <c r="D106" s="266"/>
      <c r="E106" s="182"/>
      <c r="F106" s="201"/>
    </row>
    <row r="107" spans="1:10" ht="12.75" x14ac:dyDescent="0.15">
      <c r="B107" s="2" t="s">
        <v>454</v>
      </c>
      <c r="C107" s="186" t="s">
        <v>562</v>
      </c>
      <c r="D107" s="187">
        <v>20</v>
      </c>
      <c r="E107" s="187">
        <v>28</v>
      </c>
      <c r="F107" s="199"/>
      <c r="G107" s="7">
        <v>1.2</v>
      </c>
      <c r="H107" s="202">
        <v>4</v>
      </c>
    </row>
    <row r="108" spans="1:10" ht="13.5" thickBot="1" x14ac:dyDescent="0.2">
      <c r="C108" s="183" t="s">
        <v>520</v>
      </c>
      <c r="D108" s="184">
        <v>30</v>
      </c>
      <c r="E108" s="184">
        <v>40</v>
      </c>
      <c r="F108" s="199"/>
      <c r="G108" s="7">
        <v>1.2</v>
      </c>
      <c r="H108" s="202">
        <v>4</v>
      </c>
    </row>
    <row r="109" spans="1:10" ht="63.75" x14ac:dyDescent="0.15">
      <c r="B109" s="2" t="s">
        <v>595</v>
      </c>
      <c r="C109" s="186" t="s">
        <v>563</v>
      </c>
      <c r="D109" s="187">
        <v>25</v>
      </c>
      <c r="E109" s="187">
        <v>40</v>
      </c>
      <c r="F109" s="199"/>
      <c r="G109" s="7">
        <v>1.6</v>
      </c>
    </row>
    <row r="110" spans="1:10" ht="13.5" thickBot="1" x14ac:dyDescent="0.2">
      <c r="C110" s="183" t="s">
        <v>520</v>
      </c>
      <c r="D110" s="184">
        <v>35</v>
      </c>
      <c r="E110" s="184">
        <v>56</v>
      </c>
      <c r="F110" s="199"/>
      <c r="G110" s="7">
        <v>1.6</v>
      </c>
    </row>
    <row r="111" spans="1:10" ht="12.75" x14ac:dyDescent="0.15">
      <c r="B111" s="2" t="s">
        <v>594</v>
      </c>
      <c r="C111" s="186" t="s">
        <v>564</v>
      </c>
      <c r="D111" s="187">
        <v>35</v>
      </c>
      <c r="E111" s="187">
        <v>62</v>
      </c>
      <c r="F111" s="199"/>
      <c r="G111" s="7">
        <v>1.7</v>
      </c>
      <c r="H111" s="202">
        <v>2.5</v>
      </c>
    </row>
    <row r="112" spans="1:10" ht="13.5" thickBot="1" x14ac:dyDescent="0.2">
      <c r="C112" s="183" t="s">
        <v>520</v>
      </c>
      <c r="D112" s="184">
        <v>55</v>
      </c>
      <c r="E112" s="184">
        <v>96</v>
      </c>
      <c r="F112" s="199"/>
      <c r="G112" s="7">
        <v>1.7</v>
      </c>
      <c r="H112" s="202">
        <v>2.5</v>
      </c>
    </row>
    <row r="113" spans="2:8" ht="19.5" thickBot="1" x14ac:dyDescent="0.2">
      <c r="C113" s="265" t="s">
        <v>565</v>
      </c>
      <c r="D113" s="266"/>
      <c r="E113" s="182"/>
      <c r="F113" s="201"/>
    </row>
    <row r="114" spans="2:8" ht="12.75" x14ac:dyDescent="0.15">
      <c r="B114" s="2" t="s">
        <v>91</v>
      </c>
      <c r="C114" s="186" t="s">
        <v>566</v>
      </c>
      <c r="D114" s="187">
        <v>4</v>
      </c>
      <c r="E114" s="187">
        <v>4</v>
      </c>
      <c r="F114" s="199"/>
      <c r="G114" s="7">
        <v>1</v>
      </c>
    </row>
    <row r="115" spans="2:8" ht="13.5" thickBot="1" x14ac:dyDescent="0.2">
      <c r="C115" s="183" t="s">
        <v>520</v>
      </c>
      <c r="D115" s="184">
        <v>8</v>
      </c>
      <c r="E115" s="184">
        <v>8</v>
      </c>
      <c r="F115" s="199"/>
      <c r="G115" s="7">
        <v>1</v>
      </c>
    </row>
    <row r="116" spans="2:8" ht="12.75" x14ac:dyDescent="0.15">
      <c r="B116" s="2" t="s">
        <v>585</v>
      </c>
      <c r="C116" s="186" t="s">
        <v>567</v>
      </c>
      <c r="D116" s="187">
        <v>4</v>
      </c>
      <c r="E116" s="187">
        <v>6</v>
      </c>
      <c r="F116" s="199"/>
      <c r="G116" s="7">
        <v>1</v>
      </c>
      <c r="H116" s="202">
        <v>2</v>
      </c>
    </row>
    <row r="117" spans="2:8" ht="12.75" x14ac:dyDescent="0.15">
      <c r="C117" s="186" t="s">
        <v>520</v>
      </c>
      <c r="D117" s="187">
        <v>7</v>
      </c>
      <c r="E117" s="187">
        <v>9</v>
      </c>
      <c r="F117" s="199"/>
      <c r="G117" s="7">
        <v>1</v>
      </c>
      <c r="H117" s="202">
        <v>2</v>
      </c>
    </row>
    <row r="118" spans="2:8" ht="13.5" thickBot="1" x14ac:dyDescent="0.2">
      <c r="C118" s="183" t="s">
        <v>520</v>
      </c>
      <c r="D118" s="184">
        <v>10</v>
      </c>
      <c r="E118" s="184">
        <v>12</v>
      </c>
      <c r="F118" s="199"/>
      <c r="G118" s="7">
        <v>1</v>
      </c>
      <c r="H118" s="202">
        <v>2</v>
      </c>
    </row>
    <row r="119" spans="2:8" ht="25.5" x14ac:dyDescent="0.15">
      <c r="B119" s="2" t="s">
        <v>586</v>
      </c>
      <c r="C119" s="186" t="s">
        <v>568</v>
      </c>
      <c r="D119" s="187">
        <v>15</v>
      </c>
      <c r="E119" s="187">
        <v>12</v>
      </c>
      <c r="F119" s="199">
        <v>-5.0000000000000001E-3</v>
      </c>
      <c r="G119" s="202">
        <v>1.1599999999999999</v>
      </c>
      <c r="H119" s="202">
        <v>-4.1749999999999998</v>
      </c>
    </row>
    <row r="120" spans="2:8" ht="12.75" x14ac:dyDescent="0.15">
      <c r="C120" s="186" t="s">
        <v>520</v>
      </c>
      <c r="D120" s="187">
        <v>25</v>
      </c>
      <c r="E120" s="187">
        <v>22</v>
      </c>
      <c r="F120" s="199">
        <v>-5.0000000000000001E-3</v>
      </c>
      <c r="G120" s="202">
        <v>1.1599999999999999</v>
      </c>
      <c r="H120" s="202">
        <v>-4.1749999999999998</v>
      </c>
    </row>
    <row r="121" spans="2:8" ht="12.75" x14ac:dyDescent="0.15">
      <c r="C121" s="186" t="s">
        <v>520</v>
      </c>
      <c r="D121" s="187">
        <v>35</v>
      </c>
      <c r="E121" s="187">
        <v>30</v>
      </c>
      <c r="F121" s="199">
        <v>-5.0000000000000001E-3</v>
      </c>
      <c r="G121" s="202">
        <v>1.1599999999999999</v>
      </c>
      <c r="H121" s="202">
        <v>-4.1749999999999998</v>
      </c>
    </row>
    <row r="122" spans="2:8" ht="13.5" thickBot="1" x14ac:dyDescent="0.2">
      <c r="C122" s="183" t="s">
        <v>520</v>
      </c>
      <c r="D122" s="184">
        <v>45</v>
      </c>
      <c r="E122" s="184">
        <v>38</v>
      </c>
      <c r="F122" s="199">
        <v>-5.0000000000000001E-3</v>
      </c>
      <c r="G122" s="202">
        <v>1.1599999999999999</v>
      </c>
      <c r="H122" s="202">
        <v>-4.1749999999999998</v>
      </c>
    </row>
    <row r="123" spans="2:8" ht="19.5" thickBot="1" x14ac:dyDescent="0.2">
      <c r="C123" s="265" t="s">
        <v>569</v>
      </c>
      <c r="D123" s="266"/>
      <c r="E123" s="182"/>
      <c r="F123" s="201"/>
    </row>
    <row r="124" spans="2:8" ht="28.5" x14ac:dyDescent="0.15">
      <c r="C124" s="186" t="s">
        <v>570</v>
      </c>
      <c r="D124" s="187">
        <v>20</v>
      </c>
      <c r="E124" s="187">
        <v>30</v>
      </c>
      <c r="F124" s="199"/>
      <c r="G124" s="7">
        <v>1.6</v>
      </c>
      <c r="H124" s="7">
        <v>-2</v>
      </c>
    </row>
    <row r="125" spans="2:8" ht="13.5" thickBot="1" x14ac:dyDescent="0.2">
      <c r="C125" s="183" t="s">
        <v>520</v>
      </c>
      <c r="D125" s="184">
        <v>40</v>
      </c>
      <c r="E125" s="184">
        <v>62</v>
      </c>
      <c r="F125" s="199"/>
      <c r="G125" s="7">
        <v>1.6</v>
      </c>
      <c r="H125" s="7">
        <v>-2</v>
      </c>
    </row>
    <row r="126" spans="2:8" ht="28.5" x14ac:dyDescent="0.15">
      <c r="C126" s="186" t="s">
        <v>571</v>
      </c>
      <c r="D126" s="187">
        <v>30</v>
      </c>
      <c r="E126" s="187">
        <v>40</v>
      </c>
      <c r="F126" s="199"/>
      <c r="G126" s="7">
        <v>1.3</v>
      </c>
      <c r="H126" s="7">
        <v>1</v>
      </c>
    </row>
    <row r="127" spans="2:8" ht="13.5" thickBot="1" x14ac:dyDescent="0.2">
      <c r="C127" s="183" t="s">
        <v>520</v>
      </c>
      <c r="D127" s="184">
        <v>50</v>
      </c>
      <c r="E127" s="184">
        <v>66</v>
      </c>
      <c r="F127" s="199"/>
      <c r="G127" s="7">
        <v>1.3</v>
      </c>
      <c r="H127" s="7">
        <v>1</v>
      </c>
    </row>
    <row r="128" spans="2:8" ht="28.5" x14ac:dyDescent="0.15">
      <c r="B128" s="2" t="s">
        <v>34</v>
      </c>
      <c r="C128" s="186" t="s">
        <v>572</v>
      </c>
      <c r="D128" s="187">
        <v>40</v>
      </c>
      <c r="E128" s="187">
        <v>46</v>
      </c>
      <c r="F128" s="199"/>
      <c r="G128" s="7">
        <v>1.2</v>
      </c>
      <c r="H128" s="7">
        <v>-2</v>
      </c>
    </row>
    <row r="129" spans="3:8" ht="12.75" x14ac:dyDescent="0.15">
      <c r="C129" s="186" t="s">
        <v>520</v>
      </c>
      <c r="D129" s="187">
        <v>50</v>
      </c>
      <c r="E129" s="187">
        <v>58</v>
      </c>
      <c r="F129" s="199"/>
      <c r="G129" s="7">
        <v>1.2</v>
      </c>
      <c r="H129" s="7">
        <v>-2</v>
      </c>
    </row>
    <row r="130" spans="3:8" ht="13.5" thickBot="1" x14ac:dyDescent="0.2">
      <c r="C130" s="183" t="s">
        <v>520</v>
      </c>
      <c r="D130" s="184">
        <v>60</v>
      </c>
      <c r="E130" s="184">
        <v>70</v>
      </c>
      <c r="F130" s="199"/>
      <c r="G130" s="7">
        <v>1.2</v>
      </c>
      <c r="H130" s="7">
        <v>-2</v>
      </c>
    </row>
    <row r="131" spans="3:8" ht="19.5" thickBot="1" x14ac:dyDescent="0.2">
      <c r="C131" s="265" t="s">
        <v>573</v>
      </c>
      <c r="D131" s="266"/>
      <c r="E131" s="182"/>
      <c r="F131" s="201"/>
    </row>
    <row r="132" spans="3:8" ht="25.5" x14ac:dyDescent="0.15">
      <c r="C132" s="186" t="s">
        <v>574</v>
      </c>
      <c r="D132" s="187">
        <v>10</v>
      </c>
      <c r="E132" s="187">
        <v>8</v>
      </c>
      <c r="F132" s="199"/>
    </row>
    <row r="133" spans="3:8" ht="12.75" x14ac:dyDescent="0.15">
      <c r="C133" s="186" t="s">
        <v>520</v>
      </c>
      <c r="D133" s="187">
        <v>15</v>
      </c>
      <c r="E133" s="187">
        <v>12</v>
      </c>
      <c r="F133" s="199"/>
    </row>
    <row r="134" spans="3:8" ht="12.75" x14ac:dyDescent="0.15">
      <c r="C134" s="186" t="s">
        <v>520</v>
      </c>
      <c r="D134" s="187">
        <v>25</v>
      </c>
      <c r="E134" s="187">
        <v>28</v>
      </c>
      <c r="F134" s="199"/>
    </row>
    <row r="135" spans="3:8" ht="12.75" x14ac:dyDescent="0.15">
      <c r="C135" s="186" t="s">
        <v>520</v>
      </c>
      <c r="D135" s="187">
        <v>35</v>
      </c>
      <c r="E135" s="187">
        <v>40</v>
      </c>
      <c r="F135" s="199"/>
    </row>
    <row r="136" spans="3:8" ht="13.5" thickBot="1" x14ac:dyDescent="0.2">
      <c r="C136" s="183" t="s">
        <v>520</v>
      </c>
      <c r="D136" s="184">
        <v>45</v>
      </c>
      <c r="E136" s="184">
        <v>52</v>
      </c>
      <c r="F136" s="199"/>
    </row>
    <row r="137" spans="3:8" ht="25.5" x14ac:dyDescent="0.15">
      <c r="C137" s="186" t="s">
        <v>575</v>
      </c>
      <c r="D137" s="187">
        <v>20</v>
      </c>
      <c r="E137" s="187">
        <v>16</v>
      </c>
      <c r="F137" s="199"/>
    </row>
    <row r="138" spans="3:8" ht="12.75" x14ac:dyDescent="0.15">
      <c r="C138" s="186" t="s">
        <v>520</v>
      </c>
      <c r="D138" s="187">
        <v>25</v>
      </c>
      <c r="E138" s="187">
        <v>20</v>
      </c>
      <c r="F138" s="199"/>
    </row>
    <row r="139" spans="3:8" ht="12.75" x14ac:dyDescent="0.15">
      <c r="C139" s="186" t="s">
        <v>520</v>
      </c>
      <c r="D139" s="187">
        <v>35</v>
      </c>
      <c r="E139" s="187">
        <v>36</v>
      </c>
      <c r="F139" s="199"/>
    </row>
    <row r="140" spans="3:8" ht="12.75" x14ac:dyDescent="0.15">
      <c r="C140" s="186" t="s">
        <v>520</v>
      </c>
      <c r="D140" s="187">
        <v>45</v>
      </c>
      <c r="E140" s="187">
        <v>46</v>
      </c>
      <c r="F140" s="199"/>
    </row>
    <row r="141" spans="3:8" ht="13.5" thickBot="1" x14ac:dyDescent="0.2">
      <c r="C141" s="183" t="s">
        <v>520</v>
      </c>
      <c r="D141" s="184">
        <v>55</v>
      </c>
      <c r="E141" s="184">
        <v>56</v>
      </c>
      <c r="F141" s="199"/>
    </row>
    <row r="142" spans="3:8" ht="19.5" thickBot="1" x14ac:dyDescent="0.2">
      <c r="C142" s="267" t="s">
        <v>576</v>
      </c>
      <c r="D142" s="268"/>
      <c r="E142" s="188"/>
      <c r="F142" s="198"/>
    </row>
    <row r="143" spans="3:8" ht="25.5" x14ac:dyDescent="0.15">
      <c r="C143" s="186" t="s">
        <v>577</v>
      </c>
      <c r="D143" s="187">
        <v>30</v>
      </c>
      <c r="E143" s="187">
        <v>60</v>
      </c>
      <c r="F143" s="199"/>
    </row>
    <row r="144" spans="3:8" ht="13.5" thickBot="1" x14ac:dyDescent="0.2">
      <c r="C144" s="183" t="s">
        <v>520</v>
      </c>
      <c r="D144" s="184">
        <v>50</v>
      </c>
      <c r="E144" s="189">
        <v>100</v>
      </c>
      <c r="F144" s="200"/>
    </row>
    <row r="145" spans="2:8" ht="38.25" x14ac:dyDescent="0.15">
      <c r="C145" s="186" t="s">
        <v>578</v>
      </c>
      <c r="D145" s="187">
        <v>10</v>
      </c>
      <c r="E145" s="187">
        <v>10</v>
      </c>
      <c r="F145" s="199"/>
    </row>
    <row r="146" spans="2:8" ht="13.5" thickBot="1" x14ac:dyDescent="0.2">
      <c r="C146" s="183" t="s">
        <v>520</v>
      </c>
      <c r="D146" s="184">
        <v>40</v>
      </c>
      <c r="E146" s="184">
        <v>40</v>
      </c>
      <c r="F146" s="199"/>
    </row>
    <row r="147" spans="2:8" ht="39.6" customHeight="1" thickBot="1" x14ac:dyDescent="0.2">
      <c r="C147" s="263" t="s">
        <v>579</v>
      </c>
      <c r="D147" s="264"/>
      <c r="E147" s="188"/>
      <c r="F147" s="198"/>
    </row>
    <row r="148" spans="2:8" ht="12.75" x14ac:dyDescent="0.15">
      <c r="B148" s="2" t="s">
        <v>191</v>
      </c>
      <c r="C148" s="190" t="s">
        <v>580</v>
      </c>
      <c r="D148" s="191">
        <v>4</v>
      </c>
      <c r="E148" s="191">
        <v>6</v>
      </c>
      <c r="F148" s="197"/>
      <c r="G148" s="7">
        <v>1</v>
      </c>
      <c r="H148" s="7">
        <v>2</v>
      </c>
    </row>
    <row r="149" spans="2:8" ht="12.75" x14ac:dyDescent="0.15">
      <c r="C149" s="190" t="s">
        <v>520</v>
      </c>
      <c r="D149" s="191">
        <v>7</v>
      </c>
      <c r="E149" s="191">
        <v>9</v>
      </c>
      <c r="F149" s="197"/>
      <c r="G149" s="7">
        <v>1</v>
      </c>
      <c r="H149" s="7">
        <v>2</v>
      </c>
    </row>
    <row r="150" spans="2:8" ht="13.5" thickBot="1" x14ac:dyDescent="0.2">
      <c r="C150" s="192" t="s">
        <v>520</v>
      </c>
      <c r="D150" s="185">
        <v>10</v>
      </c>
      <c r="E150" s="185">
        <v>12</v>
      </c>
      <c r="F150" s="197"/>
      <c r="G150" s="7">
        <v>1</v>
      </c>
      <c r="H150" s="7">
        <v>2</v>
      </c>
    </row>
    <row r="151" spans="2:8" ht="12.75" x14ac:dyDescent="0.15">
      <c r="B151" s="2" t="s">
        <v>192</v>
      </c>
      <c r="C151" s="190" t="s">
        <v>581</v>
      </c>
      <c r="D151" s="191">
        <v>25</v>
      </c>
      <c r="E151" s="191">
        <v>36</v>
      </c>
      <c r="F151" s="197"/>
      <c r="G151" s="7">
        <v>1.4</v>
      </c>
      <c r="H151" s="7">
        <v>1</v>
      </c>
    </row>
    <row r="152" spans="2:8" ht="13.5" thickBot="1" x14ac:dyDescent="0.2">
      <c r="C152" s="192" t="s">
        <v>520</v>
      </c>
      <c r="D152" s="185">
        <v>35</v>
      </c>
      <c r="E152" s="185">
        <v>50</v>
      </c>
      <c r="F152" s="197"/>
      <c r="G152" s="7">
        <v>1.4</v>
      </c>
      <c r="H152" s="7">
        <v>1</v>
      </c>
    </row>
    <row r="153" spans="2:8" ht="12.75" x14ac:dyDescent="0.15">
      <c r="B153" s="2" t="s">
        <v>593</v>
      </c>
      <c r="C153" s="190" t="s">
        <v>564</v>
      </c>
      <c r="D153" s="191">
        <v>30</v>
      </c>
      <c r="E153" s="191">
        <v>40</v>
      </c>
      <c r="F153" s="197"/>
      <c r="G153" s="7">
        <v>1</v>
      </c>
      <c r="H153" s="7">
        <v>10</v>
      </c>
    </row>
    <row r="154" spans="2:8" ht="13.5" thickBot="1" x14ac:dyDescent="0.2">
      <c r="C154" s="192" t="s">
        <v>520</v>
      </c>
      <c r="D154" s="185">
        <v>60</v>
      </c>
      <c r="E154" s="185">
        <v>70</v>
      </c>
      <c r="F154" s="197"/>
      <c r="G154" s="7">
        <v>1</v>
      </c>
      <c r="H154" s="7">
        <v>10</v>
      </c>
    </row>
    <row r="155" spans="2:8" x14ac:dyDescent="0.15">
      <c r="C155" s="193" t="s">
        <v>520</v>
      </c>
      <c r="D155"/>
      <c r="E155"/>
    </row>
    <row r="156" spans="2:8" ht="15.75" x14ac:dyDescent="0.2">
      <c r="C156" s="194" t="s">
        <v>582</v>
      </c>
      <c r="D156"/>
      <c r="E156"/>
    </row>
  </sheetData>
  <mergeCells count="7">
    <mergeCell ref="C147:D147"/>
    <mergeCell ref="C102:D102"/>
    <mergeCell ref="C106:D106"/>
    <mergeCell ref="C113:D113"/>
    <mergeCell ref="C123:D123"/>
    <mergeCell ref="C131:D131"/>
    <mergeCell ref="C142:D142"/>
  </mergeCells>
  <printOptions gridLines="1"/>
  <pageMargins left="1.1811023622047245" right="0.78740157480314965" top="1.5748031496062993" bottom="0.78740157480314965" header="0.51181102362204722" footer="0.51181102362204722"/>
  <pageSetup paperSize="9" orientation="portrait" r:id="rId1"/>
  <headerFooter alignWithMargins="0">
    <oddHeader>&amp;L&amp;G</oddHeader>
    <oddFooter>&amp;L&amp;8&amp;D / &amp;F /&amp;R&amp;8&amp;P/&amp;N</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5"/>
  <sheetViews>
    <sheetView zoomScaleNormal="100" workbookViewId="0">
      <selection activeCell="D70" sqref="D70"/>
    </sheetView>
  </sheetViews>
  <sheetFormatPr baseColWidth="10" defaultColWidth="11.42578125" defaultRowHeight="11.25" x14ac:dyDescent="0.15"/>
  <cols>
    <col min="1" max="1" width="16.5703125" style="7" bestFit="1" customWidth="1"/>
    <col min="2" max="2" width="59.28515625" style="7" customWidth="1"/>
    <col min="3" max="16384" width="11.42578125" style="7"/>
  </cols>
  <sheetData>
    <row r="1" spans="1:6" x14ac:dyDescent="0.15">
      <c r="A1" s="1" t="s">
        <v>823</v>
      </c>
      <c r="B1" s="1" t="s">
        <v>822</v>
      </c>
      <c r="C1" s="1" t="s">
        <v>716</v>
      </c>
      <c r="D1" s="33" t="s">
        <v>821</v>
      </c>
      <c r="E1" s="33" t="s">
        <v>820</v>
      </c>
    </row>
    <row r="2" spans="1:6" ht="45" x14ac:dyDescent="0.15">
      <c r="A2" s="261" t="s">
        <v>819</v>
      </c>
      <c r="B2" s="262" t="s">
        <v>824</v>
      </c>
      <c r="C2" s="257">
        <v>20230421</v>
      </c>
      <c r="D2" s="261" t="s">
        <v>818</v>
      </c>
      <c r="E2" s="257">
        <v>230421</v>
      </c>
    </row>
    <row r="3" spans="1:6" x14ac:dyDescent="0.15">
      <c r="A3" s="261" t="s">
        <v>825</v>
      </c>
      <c r="B3" s="261" t="s">
        <v>826</v>
      </c>
      <c r="C3" s="257">
        <v>20230724</v>
      </c>
      <c r="D3" s="261" t="s">
        <v>818</v>
      </c>
      <c r="E3" s="257"/>
    </row>
    <row r="4" spans="1:6" x14ac:dyDescent="0.15">
      <c r="A4" s="257"/>
      <c r="B4" s="257"/>
      <c r="C4" s="257"/>
      <c r="D4" s="257"/>
      <c r="E4" s="257"/>
    </row>
    <row r="5" spans="1:6" x14ac:dyDescent="0.15">
      <c r="A5" s="257"/>
      <c r="B5" s="257"/>
      <c r="C5" s="257"/>
      <c r="D5" s="257"/>
      <c r="E5" s="257"/>
    </row>
    <row r="6" spans="1:6" x14ac:dyDescent="0.15">
      <c r="A6" s="257"/>
      <c r="B6" s="257"/>
      <c r="C6" s="257"/>
      <c r="D6" s="257"/>
      <c r="E6" s="257"/>
    </row>
    <row r="7" spans="1:6" x14ac:dyDescent="0.15">
      <c r="A7" s="257"/>
      <c r="B7" s="257"/>
      <c r="C7" s="257"/>
      <c r="D7" s="259"/>
      <c r="E7" s="259"/>
      <c r="F7" s="8"/>
    </row>
    <row r="8" spans="1:6" x14ac:dyDescent="0.15">
      <c r="A8" s="257"/>
      <c r="B8" s="257"/>
      <c r="C8" s="257"/>
      <c r="D8" s="257"/>
      <c r="E8" s="257"/>
    </row>
    <row r="9" spans="1:6" x14ac:dyDescent="0.15">
      <c r="A9" s="257"/>
      <c r="B9" s="259"/>
      <c r="C9" s="257"/>
      <c r="D9" s="257"/>
      <c r="E9" s="257"/>
    </row>
    <row r="10" spans="1:6" x14ac:dyDescent="0.15">
      <c r="A10" s="257"/>
      <c r="B10" s="259"/>
      <c r="C10" s="257"/>
      <c r="D10" s="257"/>
      <c r="E10" s="257"/>
    </row>
    <row r="11" spans="1:6" x14ac:dyDescent="0.15">
      <c r="A11" s="257"/>
      <c r="B11" s="259"/>
      <c r="C11" s="257"/>
      <c r="D11" s="257"/>
      <c r="E11" s="257"/>
    </row>
    <row r="12" spans="1:6" x14ac:dyDescent="0.15">
      <c r="A12" s="257"/>
      <c r="B12" s="259"/>
      <c r="C12" s="257"/>
      <c r="D12" s="257"/>
      <c r="E12" s="257"/>
    </row>
    <row r="13" spans="1:6" x14ac:dyDescent="0.15">
      <c r="A13" s="257"/>
      <c r="B13" s="260"/>
      <c r="C13" s="257"/>
      <c r="D13" s="257"/>
      <c r="E13" s="257"/>
    </row>
    <row r="14" spans="1:6" x14ac:dyDescent="0.15">
      <c r="A14" s="257"/>
      <c r="B14" s="259"/>
      <c r="C14" s="257"/>
      <c r="D14" s="257"/>
      <c r="E14" s="257"/>
    </row>
    <row r="15" spans="1:6" x14ac:dyDescent="0.15">
      <c r="A15" s="257"/>
      <c r="B15" s="259"/>
      <c r="C15" s="257"/>
      <c r="D15" s="257"/>
      <c r="E15" s="257"/>
    </row>
    <row r="16" spans="1:6" x14ac:dyDescent="0.15">
      <c r="A16" s="257"/>
      <c r="B16" s="259"/>
      <c r="C16" s="257"/>
      <c r="D16" s="257"/>
      <c r="E16" s="257"/>
    </row>
    <row r="17" spans="1:5" x14ac:dyDescent="0.15">
      <c r="A17" s="257"/>
      <c r="B17" s="259"/>
      <c r="C17" s="257"/>
      <c r="D17" s="257"/>
      <c r="E17" s="257"/>
    </row>
    <row r="18" spans="1:5" x14ac:dyDescent="0.15">
      <c r="A18" s="257"/>
      <c r="B18" s="259"/>
      <c r="C18" s="257"/>
      <c r="D18" s="257"/>
      <c r="E18" s="257"/>
    </row>
    <row r="19" spans="1:5" x14ac:dyDescent="0.15">
      <c r="A19" s="257"/>
      <c r="B19" s="259"/>
      <c r="C19" s="257"/>
      <c r="D19" s="257"/>
      <c r="E19" s="257"/>
    </row>
    <row r="20" spans="1:5" x14ac:dyDescent="0.15">
      <c r="A20" s="257"/>
      <c r="B20" s="259"/>
      <c r="C20" s="257"/>
      <c r="D20" s="257"/>
      <c r="E20" s="257"/>
    </row>
    <row r="21" spans="1:5" x14ac:dyDescent="0.15">
      <c r="A21" s="257"/>
      <c r="B21" s="257"/>
      <c r="C21" s="257"/>
      <c r="D21" s="257"/>
      <c r="E21" s="257"/>
    </row>
    <row r="22" spans="1:5" x14ac:dyDescent="0.15">
      <c r="A22" s="257"/>
      <c r="B22" s="257"/>
      <c r="C22" s="257"/>
      <c r="D22" s="257"/>
      <c r="E22" s="257"/>
    </row>
    <row r="23" spans="1:5" x14ac:dyDescent="0.15">
      <c r="A23" s="257"/>
      <c r="B23" s="257"/>
      <c r="C23" s="257"/>
      <c r="D23" s="258"/>
      <c r="E23" s="257"/>
    </row>
    <row r="24" spans="1:5" x14ac:dyDescent="0.15">
      <c r="A24" s="257"/>
      <c r="B24" s="257"/>
      <c r="C24" s="257"/>
      <c r="D24" s="257"/>
      <c r="E24" s="257"/>
    </row>
    <row r="25" spans="1:5" x14ac:dyDescent="0.15">
      <c r="A25" s="257"/>
      <c r="B25" s="257"/>
      <c r="C25" s="257"/>
      <c r="D25" s="257"/>
      <c r="E25" s="257"/>
    </row>
    <row r="26" spans="1:5" x14ac:dyDescent="0.15">
      <c r="A26" s="257"/>
      <c r="B26" s="257"/>
      <c r="C26" s="257"/>
      <c r="D26" s="257"/>
      <c r="E26" s="257"/>
    </row>
    <row r="27" spans="1:5" x14ac:dyDescent="0.15">
      <c r="A27" s="257"/>
      <c r="B27" s="257"/>
      <c r="C27" s="257"/>
      <c r="D27" s="257"/>
      <c r="E27" s="257"/>
    </row>
    <row r="28" spans="1:5" x14ac:dyDescent="0.15">
      <c r="A28" s="257"/>
      <c r="B28" s="257"/>
      <c r="C28" s="257"/>
      <c r="D28" s="257"/>
      <c r="E28" s="257"/>
    </row>
    <row r="29" spans="1:5" x14ac:dyDescent="0.15">
      <c r="A29" s="257"/>
      <c r="B29" s="257"/>
      <c r="C29" s="257"/>
      <c r="D29" s="257"/>
      <c r="E29" s="257"/>
    </row>
    <row r="30" spans="1:5" x14ac:dyDescent="0.15">
      <c r="A30" s="257"/>
      <c r="B30" s="257"/>
      <c r="C30" s="257"/>
      <c r="D30" s="257"/>
      <c r="E30" s="257"/>
    </row>
    <row r="31" spans="1:5" x14ac:dyDescent="0.15">
      <c r="A31" s="257"/>
      <c r="B31" s="257"/>
      <c r="C31" s="257"/>
      <c r="D31" s="257"/>
      <c r="E31" s="257"/>
    </row>
    <row r="32" spans="1:5" x14ac:dyDescent="0.15">
      <c r="A32" s="257"/>
      <c r="B32" s="257"/>
      <c r="C32" s="257"/>
      <c r="D32" s="257"/>
      <c r="E32" s="257"/>
    </row>
    <row r="33" spans="1:5" x14ac:dyDescent="0.15">
      <c r="A33" s="257"/>
      <c r="B33" s="257"/>
      <c r="C33" s="257"/>
      <c r="D33" s="257"/>
      <c r="E33" s="257"/>
    </row>
    <row r="34" spans="1:5" x14ac:dyDescent="0.15">
      <c r="A34" s="257"/>
      <c r="B34" s="257"/>
      <c r="C34" s="257"/>
      <c r="D34" s="257"/>
      <c r="E34" s="257"/>
    </row>
    <row r="35" spans="1:5" x14ac:dyDescent="0.15">
      <c r="A35" s="257"/>
      <c r="B35" s="257"/>
      <c r="C35" s="257"/>
      <c r="D35" s="257"/>
      <c r="E35" s="257"/>
    </row>
    <row r="36" spans="1:5" x14ac:dyDescent="0.15">
      <c r="A36" s="257"/>
      <c r="B36" s="257"/>
      <c r="C36" s="257"/>
      <c r="D36" s="257"/>
      <c r="E36" s="257"/>
    </row>
    <row r="37" spans="1:5" x14ac:dyDescent="0.15">
      <c r="A37" s="257"/>
      <c r="B37" s="257"/>
      <c r="C37" s="257"/>
      <c r="D37" s="257"/>
      <c r="E37" s="257"/>
    </row>
    <row r="38" spans="1:5" x14ac:dyDescent="0.15">
      <c r="A38" s="257"/>
      <c r="B38" s="257"/>
      <c r="C38" s="257"/>
      <c r="D38" s="257"/>
      <c r="E38" s="257"/>
    </row>
    <row r="39" spans="1:5" x14ac:dyDescent="0.15">
      <c r="A39" s="257"/>
      <c r="B39" s="257"/>
      <c r="C39" s="257"/>
      <c r="D39" s="257"/>
      <c r="E39" s="257"/>
    </row>
    <row r="40" spans="1:5" x14ac:dyDescent="0.15">
      <c r="A40" s="257"/>
      <c r="B40" s="257"/>
      <c r="C40" s="257"/>
      <c r="D40" s="257"/>
      <c r="E40" s="257"/>
    </row>
    <row r="41" spans="1:5" x14ac:dyDescent="0.15">
      <c r="A41" s="257"/>
      <c r="B41" s="257"/>
      <c r="C41" s="257"/>
      <c r="D41" s="257"/>
      <c r="E41" s="257"/>
    </row>
    <row r="42" spans="1:5" x14ac:dyDescent="0.15">
      <c r="A42" s="257"/>
      <c r="B42" s="257"/>
      <c r="C42" s="257"/>
      <c r="D42" s="257"/>
      <c r="E42" s="257"/>
    </row>
    <row r="43" spans="1:5" x14ac:dyDescent="0.15">
      <c r="A43" s="257"/>
      <c r="B43" s="257"/>
      <c r="C43" s="257"/>
      <c r="D43" s="257"/>
      <c r="E43" s="257"/>
    </row>
    <row r="44" spans="1:5" x14ac:dyDescent="0.15">
      <c r="A44" s="257"/>
      <c r="B44" s="257"/>
      <c r="C44" s="257"/>
      <c r="D44" s="257"/>
      <c r="E44" s="257"/>
    </row>
    <row r="45" spans="1:5" x14ac:dyDescent="0.15">
      <c r="A45" s="257"/>
      <c r="B45" s="257"/>
      <c r="C45" s="257"/>
      <c r="D45" s="257"/>
      <c r="E45" s="257"/>
    </row>
  </sheetData>
  <printOptions gridLines="1"/>
  <pageMargins left="1.1811023622047245" right="0.78740157480314965" top="1.5748031496062993" bottom="0.78740157480314965" header="0.51181102362204722" footer="0.51181102362204722"/>
  <pageSetup paperSize="9" orientation="portrait" r:id="rId1"/>
  <headerFooter alignWithMargins="0">
    <oddHeader>&amp;L&amp;G</oddHeader>
    <oddFooter>&amp;L&amp;8&amp;D / &amp;F /&amp;R&amp;8&amp;P/&amp;N</odd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3</vt:i4>
      </vt:variant>
    </vt:vector>
  </HeadingPairs>
  <TitlesOfParts>
    <vt:vector size="12" baseType="lpstr">
      <vt:lpstr>Rechner Calulateur</vt:lpstr>
      <vt:lpstr>Texte</vt:lpstr>
      <vt:lpstr>Readme</vt:lpstr>
      <vt:lpstr>Formeln_GRUD</vt:lpstr>
      <vt:lpstr>Düngerpreise Agristat</vt:lpstr>
      <vt:lpstr>LANDOR 7.23</vt:lpstr>
      <vt:lpstr>Nverf</vt:lpstr>
      <vt:lpstr>Kompost</vt:lpstr>
      <vt:lpstr>Änderungsnachweis</vt:lpstr>
      <vt:lpstr>'Rechner Calulateur'!Druckbereich</vt:lpstr>
      <vt:lpstr>Texte!SprachIdx</vt:lpstr>
      <vt:lpstr>Texte!Startzelle</vt:lpstr>
    </vt:vector>
  </TitlesOfParts>
  <Company>AGRIDEA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Mappe</dc:title>
  <dc:creator>Michael Scheifele</dc:creator>
  <cp:keywords>Excel-Datei Agridea</cp:keywords>
  <cp:lastModifiedBy>Irene Weyermann</cp:lastModifiedBy>
  <cp:lastPrinted>2023-04-21T14:01:37Z</cp:lastPrinted>
  <dcterms:created xsi:type="dcterms:W3CDTF">2013-02-11T07:12:29Z</dcterms:created>
  <dcterms:modified xsi:type="dcterms:W3CDTF">2023-07-24T14:40:02Z</dcterms:modified>
</cp:coreProperties>
</file>